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127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aofanadoluedu-my.sharepoint.com/personal/mg561_aof_anadolu_edu_tr/Documents/Bilgi Bankası/1 Solar Sektörü/1 Kanun-Mevzuat/3 Yönetmelik Diger/4 YEKA-Enerji İhtisas/Mini YEKA/"/>
    </mc:Choice>
  </mc:AlternateContent>
  <xr:revisionPtr revIDLastSave="12" documentId="8_{C0F13F44-4EB3-472F-8317-321B5B51788D}" xr6:coauthVersionLast="45" xr6:coauthVersionMax="45" xr10:uidLastSave="{292D2B45-175C-4D1D-92DC-952FBB66D2B8}"/>
  <bookViews>
    <workbookView xWindow="-108" yWindow="-108" windowWidth="23256" windowHeight="12576" tabRatio="263" activeTab="1" xr2:uid="{00000000-000D-0000-FFFF-FFFF00000000}"/>
  </bookViews>
  <sheets>
    <sheet name="Szenarios" sheetId="6" r:id="rId1"/>
    <sheet name="TL" sheetId="5" r:id="rId2"/>
  </sheets>
  <definedNames>
    <definedName name="_xlnm.Print_Area" localSheetId="1">TL!$A$1:$AO$107</definedName>
  </definedNames>
  <calcPr calcId="191029"/>
</workbook>
</file>

<file path=xl/calcChain.xml><?xml version="1.0" encoding="utf-8"?>
<calcChain xmlns="http://schemas.openxmlformats.org/spreadsheetml/2006/main">
  <c r="F42" i="5" l="1"/>
  <c r="F25" i="5"/>
  <c r="K27" i="5"/>
  <c r="F28" i="5"/>
  <c r="V33" i="5" l="1"/>
  <c r="F34" i="5"/>
  <c r="G34" i="5" s="1"/>
  <c r="H34" i="5" s="1"/>
  <c r="I34" i="5" s="1"/>
  <c r="J34" i="5" s="1"/>
  <c r="K34" i="5" s="1"/>
  <c r="L34" i="5" s="1"/>
  <c r="M34" i="5" s="1"/>
  <c r="N34" i="5" s="1"/>
  <c r="O34" i="5" s="1"/>
  <c r="P34" i="5" s="1"/>
  <c r="Q34" i="5" s="1"/>
  <c r="R34" i="5" s="1"/>
  <c r="S34" i="5" s="1"/>
  <c r="T34" i="5" s="1"/>
  <c r="U34" i="5" s="1"/>
  <c r="V34" i="5" s="1"/>
  <c r="W34" i="5" s="1"/>
  <c r="X34" i="5" s="1"/>
  <c r="Y34" i="5" s="1"/>
  <c r="Z34" i="5" s="1"/>
  <c r="AA34" i="5" s="1"/>
  <c r="AB34" i="5" s="1"/>
  <c r="AC34" i="5" s="1"/>
  <c r="AD34" i="5" s="1"/>
  <c r="AE34" i="5" s="1"/>
  <c r="AF34" i="5" s="1"/>
  <c r="AG34" i="5" s="1"/>
  <c r="AH34" i="5" s="1"/>
  <c r="AI34" i="5" s="1"/>
  <c r="Y10" i="5"/>
  <c r="F33" i="5"/>
  <c r="Y7" i="5"/>
  <c r="Y9" i="5"/>
  <c r="O6" i="5"/>
  <c r="E23" i="5" l="1"/>
  <c r="C11" i="6" l="1"/>
  <c r="Y12" i="5"/>
  <c r="Y13" i="5"/>
  <c r="F31" i="5"/>
  <c r="F27" i="5" l="1"/>
  <c r="F26" i="5"/>
  <c r="AG33" i="5"/>
  <c r="AH31" i="5"/>
  <c r="AI42" i="5"/>
  <c r="AH42" i="5"/>
  <c r="AG42" i="5"/>
  <c r="AF42" i="5"/>
  <c r="AE42" i="5"/>
  <c r="AD42" i="5"/>
  <c r="AC42" i="5"/>
  <c r="AB42" i="5"/>
  <c r="AA42" i="5"/>
  <c r="Z42" i="5"/>
  <c r="AI36" i="5"/>
  <c r="AH36" i="5"/>
  <c r="AG36" i="5"/>
  <c r="AF36" i="5"/>
  <c r="AE36" i="5"/>
  <c r="AD36" i="5"/>
  <c r="AC36" i="5"/>
  <c r="AB36" i="5"/>
  <c r="AA36" i="5"/>
  <c r="Z36" i="5"/>
  <c r="Y36" i="5"/>
  <c r="X36" i="5"/>
  <c r="W36" i="5"/>
  <c r="V36" i="5"/>
  <c r="U36" i="5"/>
  <c r="T36" i="5"/>
  <c r="S36" i="5"/>
  <c r="R36" i="5"/>
  <c r="Q36" i="5"/>
  <c r="P36" i="5"/>
  <c r="O36" i="5"/>
  <c r="N36" i="5"/>
  <c r="M36" i="5"/>
  <c r="L36" i="5"/>
  <c r="K36" i="5"/>
  <c r="J36" i="5"/>
  <c r="I36" i="5"/>
  <c r="H36" i="5"/>
  <c r="G36" i="5"/>
  <c r="F36" i="5"/>
  <c r="AI35" i="5"/>
  <c r="AH35" i="5"/>
  <c r="AG35" i="5"/>
  <c r="AF35" i="5"/>
  <c r="AE35" i="5"/>
  <c r="AD35" i="5"/>
  <c r="AC35" i="5"/>
  <c r="AB35" i="5"/>
  <c r="AA35" i="5"/>
  <c r="Z35" i="5"/>
  <c r="Y35" i="5"/>
  <c r="X35" i="5"/>
  <c r="W35" i="5"/>
  <c r="V35" i="5"/>
  <c r="U35" i="5"/>
  <c r="T35" i="5"/>
  <c r="S35" i="5"/>
  <c r="R35" i="5"/>
  <c r="Q35" i="5"/>
  <c r="P35" i="5"/>
  <c r="O35" i="5"/>
  <c r="N35" i="5"/>
  <c r="M35" i="5"/>
  <c r="L35" i="5"/>
  <c r="K35" i="5"/>
  <c r="J35" i="5"/>
  <c r="I35" i="5"/>
  <c r="H35" i="5"/>
  <c r="G35" i="5"/>
  <c r="F35" i="5"/>
  <c r="AI33" i="5"/>
  <c r="AH33" i="5"/>
  <c r="AE33" i="5"/>
  <c r="AD33" i="5"/>
  <c r="AB33" i="5"/>
  <c r="AA33" i="5"/>
  <c r="Z33" i="5"/>
  <c r="W33" i="5"/>
  <c r="T33" i="5"/>
  <c r="S33" i="5"/>
  <c r="R33" i="5"/>
  <c r="O33" i="5"/>
  <c r="N33" i="5"/>
  <c r="L33" i="5"/>
  <c r="K33" i="5"/>
  <c r="J33" i="5"/>
  <c r="G33" i="5"/>
  <c r="AI32" i="5"/>
  <c r="AH32" i="5"/>
  <c r="AG32" i="5"/>
  <c r="AF32" i="5"/>
  <c r="AE32" i="5"/>
  <c r="AD32" i="5"/>
  <c r="AC32" i="5"/>
  <c r="AB32" i="5"/>
  <c r="AA32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AI31" i="5"/>
  <c r="AE31" i="5"/>
  <c r="AD31" i="5"/>
  <c r="AC31" i="5"/>
  <c r="AB31" i="5"/>
  <c r="AA31" i="5"/>
  <c r="W31" i="5"/>
  <c r="V31" i="5"/>
  <c r="U31" i="5"/>
  <c r="T31" i="5"/>
  <c r="S31" i="5"/>
  <c r="O31" i="5"/>
  <c r="N31" i="5"/>
  <c r="M31" i="5"/>
  <c r="L31" i="5"/>
  <c r="K31" i="5"/>
  <c r="G31" i="5"/>
  <c r="AI30" i="5"/>
  <c r="AH30" i="5"/>
  <c r="AG30" i="5"/>
  <c r="AF30" i="5"/>
  <c r="AE30" i="5"/>
  <c r="AD30" i="5"/>
  <c r="AC30" i="5"/>
  <c r="AB30" i="5"/>
  <c r="AA30" i="5"/>
  <c r="Z30" i="5"/>
  <c r="Y30" i="5"/>
  <c r="X30" i="5"/>
  <c r="W30" i="5"/>
  <c r="V30" i="5"/>
  <c r="U30" i="5"/>
  <c r="T30" i="5"/>
  <c r="S30" i="5"/>
  <c r="R30" i="5"/>
  <c r="Q30" i="5"/>
  <c r="P30" i="5"/>
  <c r="O30" i="5"/>
  <c r="N30" i="5"/>
  <c r="M30" i="5"/>
  <c r="L30" i="5"/>
  <c r="K30" i="5"/>
  <c r="J30" i="5"/>
  <c r="I30" i="5"/>
  <c r="H30" i="5"/>
  <c r="G30" i="5"/>
  <c r="F30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J27" i="5"/>
  <c r="I27" i="5"/>
  <c r="H27" i="5"/>
  <c r="G27" i="5"/>
  <c r="AI26" i="5"/>
  <c r="AH26" i="5"/>
  <c r="AG26" i="5"/>
  <c r="AF26" i="5"/>
  <c r="AE26" i="5"/>
  <c r="AD26" i="5"/>
  <c r="AC26" i="5"/>
  <c r="AB26" i="5"/>
  <c r="AA26" i="5"/>
  <c r="Z26" i="5"/>
  <c r="Y26" i="5"/>
  <c r="X26" i="5"/>
  <c r="W26" i="5"/>
  <c r="V26" i="5"/>
  <c r="U26" i="5"/>
  <c r="T26" i="5"/>
  <c r="S26" i="5"/>
  <c r="R26" i="5"/>
  <c r="Q26" i="5"/>
  <c r="P26" i="5"/>
  <c r="O26" i="5"/>
  <c r="N26" i="5"/>
  <c r="M26" i="5"/>
  <c r="L26" i="5"/>
  <c r="K26" i="5"/>
  <c r="J26" i="5"/>
  <c r="I26" i="5"/>
  <c r="H26" i="5"/>
  <c r="G26" i="5"/>
  <c r="AI25" i="5"/>
  <c r="AH25" i="5"/>
  <c r="AG25" i="5"/>
  <c r="AF25" i="5"/>
  <c r="AE25" i="5"/>
  <c r="AD25" i="5"/>
  <c r="AC25" i="5"/>
  <c r="AB25" i="5"/>
  <c r="AA25" i="5"/>
  <c r="Z25" i="5"/>
  <c r="Y25" i="5"/>
  <c r="X25" i="5"/>
  <c r="W25" i="5"/>
  <c r="V25" i="5"/>
  <c r="U25" i="5"/>
  <c r="T25" i="5"/>
  <c r="S25" i="5"/>
  <c r="R25" i="5"/>
  <c r="Q25" i="5"/>
  <c r="P25" i="5"/>
  <c r="O25" i="5"/>
  <c r="N25" i="5"/>
  <c r="M25" i="5"/>
  <c r="L25" i="5"/>
  <c r="K25" i="5"/>
  <c r="J25" i="5"/>
  <c r="I25" i="5"/>
  <c r="H25" i="5"/>
  <c r="G25" i="5"/>
  <c r="AI23" i="5"/>
  <c r="AH23" i="5"/>
  <c r="AG23" i="5"/>
  <c r="AF23" i="5"/>
  <c r="AE23" i="5"/>
  <c r="AD23" i="5"/>
  <c r="AC23" i="5"/>
  <c r="AB23" i="5"/>
  <c r="AA23" i="5"/>
  <c r="Z23" i="5"/>
  <c r="Y23" i="5"/>
  <c r="X23" i="5"/>
  <c r="W23" i="5"/>
  <c r="V23" i="5"/>
  <c r="U23" i="5"/>
  <c r="T23" i="5"/>
  <c r="S23" i="5"/>
  <c r="R23" i="5"/>
  <c r="Q23" i="5"/>
  <c r="P23" i="5"/>
  <c r="O23" i="5"/>
  <c r="N23" i="5"/>
  <c r="M23" i="5"/>
  <c r="L23" i="5"/>
  <c r="K23" i="5"/>
  <c r="J23" i="5"/>
  <c r="I23" i="5"/>
  <c r="H23" i="5"/>
  <c r="G23" i="5"/>
  <c r="F23" i="5"/>
  <c r="Y11" i="5"/>
  <c r="Q10" i="5"/>
  <c r="Q9" i="5"/>
  <c r="Y8" i="5"/>
  <c r="Q8" i="5"/>
  <c r="Q7" i="5"/>
  <c r="Y6" i="5"/>
  <c r="Q6" i="5"/>
  <c r="C7" i="6"/>
  <c r="D7" i="6" s="1"/>
  <c r="M33" i="5" l="1"/>
  <c r="U33" i="5"/>
  <c r="AC33" i="5"/>
  <c r="H33" i="5"/>
  <c r="P33" i="5"/>
  <c r="X33" i="5"/>
  <c r="AF33" i="5"/>
  <c r="I33" i="5"/>
  <c r="Q33" i="5"/>
  <c r="Y33" i="5"/>
  <c r="AF31" i="5"/>
  <c r="H31" i="5"/>
  <c r="P31" i="5"/>
  <c r="X31" i="5"/>
  <c r="I31" i="5"/>
  <c r="Q31" i="5"/>
  <c r="Y31" i="5"/>
  <c r="AG31" i="5"/>
  <c r="J31" i="5"/>
  <c r="R31" i="5"/>
  <c r="Z31" i="5"/>
  <c r="O5" i="5"/>
  <c r="C10" i="5" l="1"/>
  <c r="E78" i="5"/>
  <c r="C9" i="5"/>
  <c r="Y42" i="5"/>
  <c r="Q42" i="5"/>
  <c r="I42" i="5"/>
  <c r="X42" i="5"/>
  <c r="P42" i="5"/>
  <c r="H42" i="5"/>
  <c r="W42" i="5"/>
  <c r="O42" i="5"/>
  <c r="G42" i="5"/>
  <c r="J42" i="5"/>
  <c r="V42" i="5"/>
  <c r="N42" i="5"/>
  <c r="U42" i="5"/>
  <c r="M42" i="5"/>
  <c r="T42" i="5"/>
  <c r="L42" i="5"/>
  <c r="AD8" i="5"/>
  <c r="Q5" i="5"/>
  <c r="S42" i="5"/>
  <c r="K42" i="5"/>
  <c r="R42" i="5"/>
  <c r="AN106" i="5"/>
  <c r="AN105" i="5"/>
  <c r="AD7" i="5" l="1"/>
  <c r="E76" i="5" s="1"/>
  <c r="E67" i="5"/>
  <c r="F65" i="5" s="1"/>
  <c r="F46" i="5" s="1"/>
  <c r="AE28" i="5"/>
  <c r="AH28" i="5"/>
  <c r="AI28" i="5"/>
  <c r="AF28" i="5"/>
  <c r="AG28" i="5"/>
  <c r="AH37" i="5"/>
  <c r="AG37" i="5"/>
  <c r="AF37" i="5"/>
  <c r="AE37" i="5"/>
  <c r="AI37" i="5"/>
  <c r="AI63" i="5" l="1"/>
  <c r="AG63" i="5"/>
  <c r="AH63" i="5"/>
  <c r="AF63" i="5"/>
  <c r="AE40" i="5"/>
  <c r="AH38" i="5"/>
  <c r="AF38" i="5"/>
  <c r="AI38" i="5"/>
  <c r="AG38" i="5"/>
  <c r="AH40" i="5"/>
  <c r="AE38" i="5"/>
  <c r="AF40" i="5"/>
  <c r="AG40" i="5"/>
  <c r="AI40" i="5"/>
  <c r="C9" i="6"/>
  <c r="AH41" i="5" l="1"/>
  <c r="AE41" i="5"/>
  <c r="AE43" i="5"/>
  <c r="AE52" i="5" s="1"/>
  <c r="AH43" i="5"/>
  <c r="AH52" i="5" s="1"/>
  <c r="AH78" i="5"/>
  <c r="AF43" i="5"/>
  <c r="AF52" i="5" s="1"/>
  <c r="AI43" i="5"/>
  <c r="AI52" i="5" s="1"/>
  <c r="AG43" i="5"/>
  <c r="AG52" i="5" s="1"/>
  <c r="AG78" i="5"/>
  <c r="AG41" i="5"/>
  <c r="AF78" i="5"/>
  <c r="AF41" i="5"/>
  <c r="AI78" i="5"/>
  <c r="AI41" i="5"/>
  <c r="D17" i="6"/>
  <c r="D8" i="6"/>
  <c r="C10" i="6"/>
  <c r="AE44" i="5" l="1"/>
  <c r="AH44" i="5"/>
  <c r="AF44" i="5"/>
  <c r="AI44" i="5"/>
  <c r="AG44" i="5"/>
  <c r="D9" i="6"/>
  <c r="D10" i="6"/>
  <c r="C12" i="6" l="1"/>
  <c r="D11" i="6"/>
  <c r="C13" i="6" l="1"/>
  <c r="D12" i="6"/>
  <c r="C14" i="6" l="1"/>
  <c r="D13" i="6"/>
  <c r="D14" i="6" l="1"/>
  <c r="C15" i="6"/>
  <c r="D15" i="6" l="1"/>
  <c r="C16" i="6"/>
  <c r="D16" i="6" s="1"/>
  <c r="B16" i="5" l="1"/>
  <c r="B15" i="5"/>
  <c r="AN34" i="5" l="1"/>
  <c r="AM34" i="5"/>
  <c r="B11" i="5" l="1"/>
  <c r="B12" i="5"/>
  <c r="W14" i="5"/>
  <c r="Z28" i="5" l="1"/>
  <c r="I28" i="5"/>
  <c r="AK28" i="5" l="1"/>
  <c r="AK42" i="5"/>
  <c r="AK32" i="5"/>
  <c r="AK30" i="5"/>
  <c r="AK31" i="5"/>
  <c r="AK33" i="5"/>
  <c r="AK34" i="5"/>
  <c r="AK35" i="5"/>
  <c r="AK36" i="5"/>
  <c r="P28" i="5"/>
  <c r="L28" i="5"/>
  <c r="S28" i="5"/>
  <c r="U28" i="5"/>
  <c r="H28" i="5"/>
  <c r="AC28" i="5"/>
  <c r="AD28" i="5"/>
  <c r="Q28" i="5"/>
  <c r="J28" i="5"/>
  <c r="T28" i="5"/>
  <c r="AB28" i="5"/>
  <c r="Y28" i="5"/>
  <c r="O28" i="5"/>
  <c r="K28" i="5"/>
  <c r="G28" i="5"/>
  <c r="V28" i="5"/>
  <c r="N28" i="5"/>
  <c r="W28" i="5"/>
  <c r="R28" i="5"/>
  <c r="M28" i="5"/>
  <c r="AA28" i="5"/>
  <c r="X28" i="5"/>
  <c r="AD37" i="5"/>
  <c r="AB37" i="5"/>
  <c r="AA37" i="5"/>
  <c r="Z37" i="5"/>
  <c r="Z38" i="5" s="1"/>
  <c r="AC37" i="5"/>
  <c r="Q37" i="5"/>
  <c r="Y14" i="5"/>
  <c r="L37" i="5"/>
  <c r="S37" i="5"/>
  <c r="AN31" i="5"/>
  <c r="AN35" i="5"/>
  <c r="AM31" i="5"/>
  <c r="G37" i="5"/>
  <c r="AM35" i="5"/>
  <c r="AM30" i="5"/>
  <c r="AN30" i="5"/>
  <c r="O37" i="5"/>
  <c r="H37" i="5"/>
  <c r="K37" i="5"/>
  <c r="R37" i="5"/>
  <c r="N37" i="5"/>
  <c r="P37" i="5"/>
  <c r="AM32" i="5"/>
  <c r="AM33" i="5"/>
  <c r="J37" i="5"/>
  <c r="U37" i="5"/>
  <c r="AN32" i="5"/>
  <c r="AN33" i="5"/>
  <c r="AN36" i="5"/>
  <c r="AM36" i="5"/>
  <c r="F37" i="5"/>
  <c r="T37" i="5"/>
  <c r="I37" i="5"/>
  <c r="M37" i="5"/>
  <c r="N40" i="5" l="1"/>
  <c r="J63" i="5"/>
  <c r="L63" i="5"/>
  <c r="N63" i="5"/>
  <c r="R63" i="5"/>
  <c r="AB63" i="5"/>
  <c r="S63" i="5"/>
  <c r="T63" i="5"/>
  <c r="AK37" i="5"/>
  <c r="P63" i="5"/>
  <c r="Q63" i="5"/>
  <c r="G63" i="5"/>
  <c r="AD63" i="5"/>
  <c r="AE63" i="5"/>
  <c r="AE78" i="5" s="1"/>
  <c r="AC63" i="5"/>
  <c r="K63" i="5"/>
  <c r="AA63" i="5"/>
  <c r="O63" i="5"/>
  <c r="H63" i="5"/>
  <c r="F63" i="5"/>
  <c r="M63" i="5"/>
  <c r="U63" i="5"/>
  <c r="I63" i="5"/>
  <c r="AB40" i="5"/>
  <c r="AA38" i="5"/>
  <c r="AB38" i="5"/>
  <c r="AD38" i="5"/>
  <c r="P40" i="5"/>
  <c r="Z40" i="5"/>
  <c r="H38" i="5"/>
  <c r="U38" i="5"/>
  <c r="AC38" i="5"/>
  <c r="AA40" i="5"/>
  <c r="R40" i="5"/>
  <c r="AC40" i="5"/>
  <c r="AD40" i="5"/>
  <c r="S40" i="5"/>
  <c r="Q40" i="5"/>
  <c r="J40" i="5"/>
  <c r="Q38" i="5"/>
  <c r="L40" i="5"/>
  <c r="K38" i="5"/>
  <c r="O38" i="5"/>
  <c r="O40" i="5"/>
  <c r="L38" i="5"/>
  <c r="S38" i="5"/>
  <c r="AM28" i="5"/>
  <c r="G40" i="5"/>
  <c r="G38" i="5"/>
  <c r="AN28" i="5"/>
  <c r="J38" i="5"/>
  <c r="R38" i="5"/>
  <c r="K40" i="5"/>
  <c r="N38" i="5"/>
  <c r="U40" i="5"/>
  <c r="H40" i="5"/>
  <c r="P38" i="5"/>
  <c r="I38" i="5"/>
  <c r="I40" i="5"/>
  <c r="T38" i="5"/>
  <c r="T40" i="5"/>
  <c r="F38" i="5"/>
  <c r="F40" i="5"/>
  <c r="M38" i="5"/>
  <c r="M40" i="5"/>
  <c r="F43" i="5" l="1"/>
  <c r="F49" i="5" s="1"/>
  <c r="F41" i="5"/>
  <c r="AM5" i="5"/>
  <c r="F78" i="5"/>
  <c r="AK40" i="5"/>
  <c r="AD78" i="5"/>
  <c r="AC78" i="5"/>
  <c r="AA78" i="5"/>
  <c r="AB78" i="5"/>
  <c r="AB41" i="5"/>
  <c r="AB43" i="5"/>
  <c r="AB52" i="5" s="1"/>
  <c r="P41" i="5"/>
  <c r="U41" i="5"/>
  <c r="G41" i="5"/>
  <c r="J78" i="5"/>
  <c r="H41" i="5"/>
  <c r="Q41" i="5"/>
  <c r="Z41" i="5"/>
  <c r="R41" i="5"/>
  <c r="N78" i="5"/>
  <c r="P78" i="5"/>
  <c r="Z43" i="5"/>
  <c r="Z52" i="5" s="1"/>
  <c r="R78" i="5"/>
  <c r="AC41" i="5"/>
  <c r="AC43" i="5"/>
  <c r="AC52" i="5" s="1"/>
  <c r="AA41" i="5"/>
  <c r="AA43" i="5"/>
  <c r="AA52" i="5" s="1"/>
  <c r="S78" i="5"/>
  <c r="AD43" i="5"/>
  <c r="AD52" i="5" s="1"/>
  <c r="AD41" i="5"/>
  <c r="N41" i="5"/>
  <c r="S41" i="5"/>
  <c r="O78" i="5"/>
  <c r="J41" i="5"/>
  <c r="Q78" i="5"/>
  <c r="L41" i="5"/>
  <c r="L78" i="5"/>
  <c r="K78" i="5"/>
  <c r="O41" i="5"/>
  <c r="G78" i="5"/>
  <c r="K41" i="5"/>
  <c r="U78" i="5"/>
  <c r="H78" i="5"/>
  <c r="T78" i="5"/>
  <c r="T41" i="5"/>
  <c r="M41" i="5"/>
  <c r="M78" i="5"/>
  <c r="I78" i="5"/>
  <c r="I41" i="5"/>
  <c r="AK78" i="5" l="1"/>
  <c r="AB44" i="5"/>
  <c r="AA44" i="5"/>
  <c r="AD44" i="5"/>
  <c r="AC44" i="5"/>
  <c r="Z44" i="5"/>
  <c r="N43" i="5" l="1"/>
  <c r="N52" i="5" s="1"/>
  <c r="C14" i="5"/>
  <c r="AD12" i="5"/>
  <c r="G5" i="6" l="1"/>
  <c r="G7" i="6" s="1"/>
  <c r="C12" i="5"/>
  <c r="J43" i="5"/>
  <c r="J52" i="5" s="1"/>
  <c r="Q43" i="5"/>
  <c r="Q52" i="5" s="1"/>
  <c r="P43" i="5"/>
  <c r="P52" i="5" s="1"/>
  <c r="L43" i="5"/>
  <c r="L52" i="5" s="1"/>
  <c r="R43" i="5"/>
  <c r="R52" i="5" s="1"/>
  <c r="N44" i="5"/>
  <c r="M43" i="5"/>
  <c r="M52" i="5" s="1"/>
  <c r="S43" i="5"/>
  <c r="S52" i="5" s="1"/>
  <c r="I43" i="5"/>
  <c r="I52" i="5" s="1"/>
  <c r="T43" i="5"/>
  <c r="T52" i="5" s="1"/>
  <c r="G43" i="5"/>
  <c r="G52" i="5" s="1"/>
  <c r="H43" i="5"/>
  <c r="H52" i="5" s="1"/>
  <c r="K43" i="5"/>
  <c r="K52" i="5" s="1"/>
  <c r="U43" i="5"/>
  <c r="U52" i="5" s="1"/>
  <c r="O43" i="5"/>
  <c r="O52" i="5" s="1"/>
  <c r="AM42" i="5"/>
  <c r="AN42" i="5"/>
  <c r="F52" i="5"/>
  <c r="F66" i="5" l="1"/>
  <c r="AK43" i="5"/>
  <c r="AD15" i="5"/>
  <c r="C11" i="5"/>
  <c r="J44" i="5"/>
  <c r="L44" i="5"/>
  <c r="P44" i="5"/>
  <c r="Q44" i="5"/>
  <c r="H44" i="5"/>
  <c r="R44" i="5"/>
  <c r="M44" i="5"/>
  <c r="S44" i="5"/>
  <c r="K44" i="5"/>
  <c r="O44" i="5"/>
  <c r="U44" i="5"/>
  <c r="G44" i="5"/>
  <c r="I44" i="5"/>
  <c r="T44" i="5"/>
  <c r="F44" i="5"/>
  <c r="E73" i="5"/>
  <c r="AK66" i="5" l="1"/>
  <c r="AK46" i="5"/>
  <c r="F67" i="5"/>
  <c r="G65" i="5" s="1"/>
  <c r="E80" i="5"/>
  <c r="E74" i="5"/>
  <c r="F72" i="5" s="1"/>
  <c r="F47" i="5" s="1"/>
  <c r="F54" i="5" s="1"/>
  <c r="F55" i="5" s="1"/>
  <c r="G46" i="5" l="1"/>
  <c r="G66" i="5"/>
  <c r="G67" i="5" s="1"/>
  <c r="AK47" i="5"/>
  <c r="H65" i="5" l="1"/>
  <c r="AK49" i="5" l="1"/>
  <c r="H46" i="5"/>
  <c r="H66" i="5"/>
  <c r="H67" i="5" s="1"/>
  <c r="I65" i="5" s="1"/>
  <c r="F56" i="5"/>
  <c r="I46" i="5" l="1"/>
  <c r="I66" i="5"/>
  <c r="I67" i="5" s="1"/>
  <c r="J65" i="5" s="1"/>
  <c r="F57" i="5"/>
  <c r="F61" i="5" s="1"/>
  <c r="J66" i="5" l="1"/>
  <c r="J67" i="5" s="1"/>
  <c r="J46" i="5"/>
  <c r="AL57" i="5"/>
  <c r="AK57" i="5"/>
  <c r="AL43" i="5"/>
  <c r="AL66" i="5"/>
  <c r="AL42" i="5"/>
  <c r="AL78" i="5"/>
  <c r="AL35" i="5"/>
  <c r="AL32" i="5"/>
  <c r="AL36" i="5"/>
  <c r="AL31" i="5"/>
  <c r="AL46" i="5"/>
  <c r="AL30" i="5"/>
  <c r="AL37" i="5"/>
  <c r="AL28" i="5"/>
  <c r="AL33" i="5"/>
  <c r="AL34" i="5"/>
  <c r="AL40" i="5"/>
  <c r="AL47" i="5"/>
  <c r="AL49" i="5"/>
  <c r="F83" i="5"/>
  <c r="K65" i="5" l="1"/>
  <c r="K46" i="5" l="1"/>
  <c r="K66" i="5"/>
  <c r="K67" i="5" s="1"/>
  <c r="L65" i="5" s="1"/>
  <c r="L46" i="5" l="1"/>
  <c r="L66" i="5"/>
  <c r="F70" i="5"/>
  <c r="F69" i="5" s="1"/>
  <c r="AL61" i="5" l="1"/>
  <c r="AK61" i="5"/>
  <c r="F59" i="5"/>
  <c r="L67" i="5"/>
  <c r="AL59" i="5" l="1"/>
  <c r="AK59" i="5"/>
  <c r="F84" i="5"/>
  <c r="M65" i="5"/>
  <c r="M46" i="5" l="1"/>
  <c r="M66" i="5"/>
  <c r="F73" i="5"/>
  <c r="AL73" i="5" l="1"/>
  <c r="AK73" i="5"/>
  <c r="M67" i="5"/>
  <c r="F74" i="5"/>
  <c r="F76" i="5"/>
  <c r="AL76" i="5" l="1"/>
  <c r="AK76" i="5"/>
  <c r="N65" i="5"/>
  <c r="F80" i="5"/>
  <c r="G72" i="5"/>
  <c r="G47" i="5" s="1"/>
  <c r="G54" i="5" s="1"/>
  <c r="AL80" i="5" l="1"/>
  <c r="AK80" i="5"/>
  <c r="N46" i="5"/>
  <c r="N66" i="5"/>
  <c r="F81" i="5"/>
  <c r="G55" i="5" l="1"/>
  <c r="G56" i="5" s="1"/>
  <c r="N67" i="5"/>
  <c r="G49" i="5"/>
  <c r="G57" i="5" l="1"/>
  <c r="G83" i="5" s="1"/>
  <c r="O65" i="5"/>
  <c r="O46" i="5" l="1"/>
  <c r="O66" i="5"/>
  <c r="O67" i="5" s="1"/>
  <c r="P65" i="5" l="1"/>
  <c r="P46" i="5" l="1"/>
  <c r="P66" i="5"/>
  <c r="P67" i="5" s="1"/>
  <c r="Q65" i="5" l="1"/>
  <c r="Q46" i="5" l="1"/>
  <c r="Q66" i="5"/>
  <c r="Q67" i="5" s="1"/>
  <c r="G61" i="5"/>
  <c r="G70" i="5" s="1"/>
  <c r="G59" i="5"/>
  <c r="R65" i="5" l="1"/>
  <c r="G84" i="5"/>
  <c r="R66" i="5" l="1"/>
  <c r="R46" i="5"/>
  <c r="G69" i="5"/>
  <c r="R67" i="5" l="1"/>
  <c r="G73" i="5"/>
  <c r="S65" i="5" l="1"/>
  <c r="G74" i="5"/>
  <c r="G76" i="5"/>
  <c r="S46" i="5" l="1"/>
  <c r="S66" i="5"/>
  <c r="H72" i="5"/>
  <c r="H47" i="5" s="1"/>
  <c r="G80" i="5"/>
  <c r="H54" i="5" l="1"/>
  <c r="S67" i="5"/>
  <c r="G81" i="5"/>
  <c r="H55" i="5" l="1"/>
  <c r="H56" i="5" s="1"/>
  <c r="T65" i="5"/>
  <c r="H49" i="5"/>
  <c r="T46" i="5" l="1"/>
  <c r="T66" i="5"/>
  <c r="T67" i="5" s="1"/>
  <c r="H57" i="5"/>
  <c r="H83" i="5" l="1"/>
  <c r="H61" i="5"/>
  <c r="U65" i="5"/>
  <c r="U46" i="5" l="1"/>
  <c r="U66" i="5"/>
  <c r="U67" i="5" s="1"/>
  <c r="V65" i="5" l="1"/>
  <c r="V46" i="5" l="1"/>
  <c r="V66" i="5"/>
  <c r="V67" i="5" s="1"/>
  <c r="H70" i="5"/>
  <c r="H59" i="5"/>
  <c r="W65" i="5" l="1"/>
  <c r="H84" i="5"/>
  <c r="W46" i="5" l="1"/>
  <c r="W66" i="5"/>
  <c r="W67" i="5" s="1"/>
  <c r="H69" i="5"/>
  <c r="X65" i="5" l="1"/>
  <c r="H73" i="5"/>
  <c r="X46" i="5" l="1"/>
  <c r="X66" i="5"/>
  <c r="H74" i="5"/>
  <c r="H76" i="5"/>
  <c r="X67" i="5" l="1"/>
  <c r="I72" i="5"/>
  <c r="I47" i="5" s="1"/>
  <c r="I54" i="5" s="1"/>
  <c r="H80" i="5"/>
  <c r="Y65" i="5" l="1"/>
  <c r="H81" i="5"/>
  <c r="Y46" i="5" l="1"/>
  <c r="Y66" i="5"/>
  <c r="Y67" i="5" s="1"/>
  <c r="I55" i="5"/>
  <c r="I56" i="5" s="1"/>
  <c r="I49" i="5"/>
  <c r="I57" i="5" l="1"/>
  <c r="I83" i="5" s="1"/>
  <c r="Z65" i="5"/>
  <c r="AM46" i="5"/>
  <c r="AM66" i="5"/>
  <c r="Z66" i="5" l="1"/>
  <c r="Z67" i="5" s="1"/>
  <c r="Z46" i="5"/>
  <c r="AA65" i="5" l="1"/>
  <c r="AA46" i="5" l="1"/>
  <c r="AA66" i="5"/>
  <c r="AA67" i="5" s="1"/>
  <c r="AB65" i="5" l="1"/>
  <c r="AB46" i="5" l="1"/>
  <c r="AB66" i="5"/>
  <c r="I61" i="5"/>
  <c r="I70" i="5" s="1"/>
  <c r="I59" i="5"/>
  <c r="AB67" i="5" l="1"/>
  <c r="I84" i="5"/>
  <c r="AC65" i="5" l="1"/>
  <c r="I69" i="5"/>
  <c r="AC46" i="5" l="1"/>
  <c r="AC66" i="5"/>
  <c r="AC67" i="5" s="1"/>
  <c r="I73" i="5"/>
  <c r="AD65" i="5" l="1"/>
  <c r="I74" i="5"/>
  <c r="I76" i="5"/>
  <c r="AD46" i="5" l="1"/>
  <c r="AD66" i="5"/>
  <c r="AD67" i="5" s="1"/>
  <c r="AE65" i="5" s="1"/>
  <c r="I80" i="5"/>
  <c r="J72" i="5"/>
  <c r="J47" i="5" s="1"/>
  <c r="J54" i="5" s="1"/>
  <c r="AE46" i="5" l="1"/>
  <c r="AE66" i="5"/>
  <c r="AE67" i="5" s="1"/>
  <c r="AF65" i="5" s="1"/>
  <c r="I81" i="5"/>
  <c r="AF46" i="5" l="1"/>
  <c r="AF66" i="5"/>
  <c r="AF67" i="5" s="1"/>
  <c r="AG65" i="5" s="1"/>
  <c r="J55" i="5"/>
  <c r="J56" i="5" s="1"/>
  <c r="J49" i="5"/>
  <c r="AG46" i="5" l="1"/>
  <c r="AG66" i="5"/>
  <c r="AG67" i="5" s="1"/>
  <c r="AH65" i="5" s="1"/>
  <c r="J57" i="5"/>
  <c r="AH66" i="5" l="1"/>
  <c r="AH67" i="5" s="1"/>
  <c r="AI65" i="5" s="1"/>
  <c r="AH46" i="5"/>
  <c r="J83" i="5"/>
  <c r="J59" i="5"/>
  <c r="J61" i="5"/>
  <c r="J70" i="5" s="1"/>
  <c r="J84" i="5"/>
  <c r="AI46" i="5" l="1"/>
  <c r="AI66" i="5"/>
  <c r="AI67" i="5" s="1"/>
  <c r="J69" i="5"/>
  <c r="J73" i="5" l="1"/>
  <c r="J74" i="5" l="1"/>
  <c r="J76" i="5"/>
  <c r="J80" i="5" l="1"/>
  <c r="K72" i="5"/>
  <c r="K47" i="5" s="1"/>
  <c r="K54" i="5" s="1"/>
  <c r="AN46" i="5" l="1"/>
  <c r="AN66" i="5"/>
  <c r="J81" i="5"/>
  <c r="K55" i="5" l="1"/>
  <c r="K56" i="5" s="1"/>
  <c r="K49" i="5"/>
  <c r="K57" i="5" l="1"/>
  <c r="K83" i="5" l="1"/>
  <c r="K84" i="5" s="1"/>
  <c r="K61" i="5"/>
  <c r="K70" i="5" s="1"/>
  <c r="K59" i="5"/>
  <c r="K69" i="5" l="1"/>
  <c r="K73" i="5" l="1"/>
  <c r="K74" i="5" l="1"/>
  <c r="K76" i="5"/>
  <c r="K80" i="5" l="1"/>
  <c r="L72" i="5"/>
  <c r="L47" i="5" s="1"/>
  <c r="L54" i="5" s="1"/>
  <c r="K81" i="5" l="1"/>
  <c r="L55" i="5" l="1"/>
  <c r="L56" i="5" s="1"/>
  <c r="L49" i="5"/>
  <c r="L57" i="5" l="1"/>
  <c r="L83" i="5" l="1"/>
  <c r="L84" i="5" s="1"/>
  <c r="L59" i="5"/>
  <c r="L61" i="5"/>
  <c r="L70" i="5" s="1"/>
  <c r="L69" i="5" l="1"/>
  <c r="L73" i="5" l="1"/>
  <c r="L74" i="5" l="1"/>
  <c r="L76" i="5"/>
  <c r="L80" i="5" l="1"/>
  <c r="M72" i="5"/>
  <c r="M47" i="5" s="1"/>
  <c r="M54" i="5" s="1"/>
  <c r="L81" i="5" l="1"/>
  <c r="M55" i="5" l="1"/>
  <c r="M56" i="5" s="1"/>
  <c r="M49" i="5"/>
  <c r="M57" i="5" l="1"/>
  <c r="M83" i="5" l="1"/>
  <c r="M84" i="5" s="1"/>
  <c r="M61" i="5"/>
  <c r="M70" i="5" s="1"/>
  <c r="M59" i="5"/>
  <c r="M69" i="5" l="1"/>
  <c r="M73" i="5" l="1"/>
  <c r="M74" i="5" l="1"/>
  <c r="M76" i="5"/>
  <c r="M80" i="5" l="1"/>
  <c r="N72" i="5"/>
  <c r="N47" i="5" s="1"/>
  <c r="N54" i="5" s="1"/>
  <c r="M81" i="5" l="1"/>
  <c r="N55" i="5" l="1"/>
  <c r="N56" i="5" s="1"/>
  <c r="N49" i="5"/>
  <c r="N57" i="5" l="1"/>
  <c r="N83" i="5" l="1"/>
  <c r="N84" i="5" s="1"/>
  <c r="N61" i="5"/>
  <c r="N70" i="5" s="1"/>
  <c r="N59" i="5"/>
  <c r="N69" i="5" l="1"/>
  <c r="N73" i="5" l="1"/>
  <c r="N74" i="5" l="1"/>
  <c r="N76" i="5"/>
  <c r="N80" i="5" l="1"/>
  <c r="O72" i="5"/>
  <c r="O47" i="5" s="1"/>
  <c r="O54" i="5" s="1"/>
  <c r="N81" i="5" l="1"/>
  <c r="O55" i="5" l="1"/>
  <c r="O56" i="5" s="1"/>
  <c r="O49" i="5"/>
  <c r="O57" i="5" l="1"/>
  <c r="O83" i="5" l="1"/>
  <c r="O84" i="5" s="1"/>
  <c r="O59" i="5"/>
  <c r="O61" i="5"/>
  <c r="O70" i="5" s="1"/>
  <c r="O69" i="5" l="1"/>
  <c r="O73" i="5" l="1"/>
  <c r="O74" i="5" l="1"/>
  <c r="O76" i="5"/>
  <c r="O80" i="5" l="1"/>
  <c r="O81" i="5" s="1"/>
  <c r="P72" i="5"/>
  <c r="P47" i="5" s="1"/>
  <c r="P54" i="5" s="1"/>
  <c r="P55" i="5" l="1"/>
  <c r="P56" i="5" s="1"/>
  <c r="P49" i="5"/>
  <c r="P57" i="5" l="1"/>
  <c r="P83" i="5" l="1"/>
  <c r="P84" i="5" s="1"/>
  <c r="P59" i="5"/>
  <c r="P61" i="5"/>
  <c r="P70" i="5" s="1"/>
  <c r="P69" i="5" l="1"/>
  <c r="P73" i="5" l="1"/>
  <c r="P74" i="5" l="1"/>
  <c r="P76" i="5"/>
  <c r="P80" i="5" l="1"/>
  <c r="Q72" i="5"/>
  <c r="Q47" i="5" s="1"/>
  <c r="Q54" i="5" s="1"/>
  <c r="P81" i="5" l="1"/>
  <c r="Q55" i="5" l="1"/>
  <c r="Q56" i="5" s="1"/>
  <c r="Q49" i="5"/>
  <c r="Q57" i="5" l="1"/>
  <c r="Q83" i="5" l="1"/>
  <c r="Q84" i="5" s="1"/>
  <c r="Q59" i="5"/>
  <c r="Q61" i="5"/>
  <c r="Q70" i="5" s="1"/>
  <c r="Q69" i="5" l="1"/>
  <c r="Q73" i="5" l="1"/>
  <c r="Q74" i="5" l="1"/>
  <c r="Q76" i="5"/>
  <c r="Q80" i="5" l="1"/>
  <c r="R72" i="5"/>
  <c r="R47" i="5" s="1"/>
  <c r="R54" i="5" s="1"/>
  <c r="Q81" i="5" l="1"/>
  <c r="R55" i="5" l="1"/>
  <c r="R56" i="5" s="1"/>
  <c r="R49" i="5"/>
  <c r="R57" i="5" l="1"/>
  <c r="R83" i="5" l="1"/>
  <c r="R84" i="5" s="1"/>
  <c r="R59" i="5"/>
  <c r="R61" i="5"/>
  <c r="R70" i="5" s="1"/>
  <c r="R69" i="5" l="1"/>
  <c r="R73" i="5" l="1"/>
  <c r="R74" i="5" l="1"/>
  <c r="R76" i="5"/>
  <c r="R80" i="5" l="1"/>
  <c r="S72" i="5"/>
  <c r="S47" i="5" s="1"/>
  <c r="S54" i="5" s="1"/>
  <c r="R81" i="5" l="1"/>
  <c r="S55" i="5" l="1"/>
  <c r="S56" i="5" s="1"/>
  <c r="S49" i="5"/>
  <c r="S57" i="5" l="1"/>
  <c r="S83" i="5" l="1"/>
  <c r="S84" i="5" s="1"/>
  <c r="S59" i="5"/>
  <c r="S61" i="5"/>
  <c r="S70" i="5" s="1"/>
  <c r="S69" i="5" l="1"/>
  <c r="S73" i="5" l="1"/>
  <c r="S74" i="5" l="1"/>
  <c r="S76" i="5"/>
  <c r="S80" i="5" l="1"/>
  <c r="T72" i="5"/>
  <c r="T47" i="5" s="1"/>
  <c r="T54" i="5" s="1"/>
  <c r="S81" i="5" l="1"/>
  <c r="T55" i="5" l="1"/>
  <c r="T56" i="5" s="1"/>
  <c r="T49" i="5"/>
  <c r="T57" i="5" l="1"/>
  <c r="T83" i="5" l="1"/>
  <c r="T84" i="5" s="1"/>
  <c r="T59" i="5"/>
  <c r="T61" i="5"/>
  <c r="T70" i="5" s="1"/>
  <c r="T69" i="5" l="1"/>
  <c r="T73" i="5" l="1"/>
  <c r="T74" i="5" l="1"/>
  <c r="T76" i="5"/>
  <c r="U72" i="5" l="1"/>
  <c r="U47" i="5" s="1"/>
  <c r="U54" i="5" s="1"/>
  <c r="T80" i="5"/>
  <c r="T81" i="5" l="1"/>
  <c r="U55" i="5" l="1"/>
  <c r="U56" i="5" s="1"/>
  <c r="U49" i="5"/>
  <c r="U57" i="5" l="1"/>
  <c r="U83" i="5" l="1"/>
  <c r="U84" i="5" s="1"/>
  <c r="U59" i="5"/>
  <c r="U61" i="5"/>
  <c r="U70" i="5" s="1"/>
  <c r="U69" i="5" l="1"/>
  <c r="U73" i="5" l="1"/>
  <c r="U74" i="5" l="1"/>
  <c r="U76" i="5"/>
  <c r="U80" i="5" l="1"/>
  <c r="V72" i="5"/>
  <c r="V47" i="5" s="1"/>
  <c r="U81" i="5" l="1"/>
  <c r="V37" i="5" l="1"/>
  <c r="V40" i="5" l="1"/>
  <c r="V38" i="5"/>
  <c r="V63" i="5"/>
  <c r="W37" i="5"/>
  <c r="W63" i="5" l="1"/>
  <c r="W38" i="5"/>
  <c r="W40" i="5"/>
  <c r="Y37" i="5"/>
  <c r="X37" i="5"/>
  <c r="AM37" i="5" s="1"/>
  <c r="V41" i="5"/>
  <c r="V78" i="5"/>
  <c r="V43" i="5"/>
  <c r="V54" i="5"/>
  <c r="AN37" i="5" l="1"/>
  <c r="V52" i="5"/>
  <c r="V44" i="5"/>
  <c r="V55" i="5"/>
  <c r="V56" i="5" s="1"/>
  <c r="V49" i="5"/>
  <c r="W78" i="5"/>
  <c r="W41" i="5"/>
  <c r="W43" i="5"/>
  <c r="Y63" i="5"/>
  <c r="Z63" i="5"/>
  <c r="Z78" i="5" s="1"/>
  <c r="Y38" i="5"/>
  <c r="Y40" i="5"/>
  <c r="X40" i="5"/>
  <c r="AM40" i="5" s="1"/>
  <c r="X38" i="5"/>
  <c r="X63" i="5"/>
  <c r="AN40" i="5" l="1"/>
  <c r="AM6" i="5"/>
  <c r="W52" i="5"/>
  <c r="W44" i="5"/>
  <c r="Y41" i="5"/>
  <c r="Y43" i="5"/>
  <c r="Y78" i="5"/>
  <c r="X78" i="5"/>
  <c r="N97" i="5" s="1"/>
  <c r="N102" i="5" s="1"/>
  <c r="X41" i="5"/>
  <c r="X43" i="5"/>
  <c r="V57" i="5"/>
  <c r="V59" i="5" s="1"/>
  <c r="AE97" i="5" l="1"/>
  <c r="AE102" i="5" s="1"/>
  <c r="Y98" i="5"/>
  <c r="Y103" i="5" s="1"/>
  <c r="J98" i="5"/>
  <c r="J103" i="5" s="1"/>
  <c r="I98" i="5"/>
  <c r="I103" i="5" s="1"/>
  <c r="X97" i="5"/>
  <c r="X102" i="5" s="1"/>
  <c r="Y97" i="5"/>
  <c r="Y102" i="5" s="1"/>
  <c r="F97" i="5"/>
  <c r="F102" i="5" s="1"/>
  <c r="AC96" i="5"/>
  <c r="AC101" i="5" s="1"/>
  <c r="AD98" i="5"/>
  <c r="AD103" i="5" s="1"/>
  <c r="K96" i="5"/>
  <c r="K101" i="5" s="1"/>
  <c r="R96" i="5"/>
  <c r="R101" i="5" s="1"/>
  <c r="H97" i="5"/>
  <c r="H102" i="5" s="1"/>
  <c r="I96" i="5"/>
  <c r="I101" i="5" s="1"/>
  <c r="J96" i="5"/>
  <c r="J101" i="5" s="1"/>
  <c r="Q96" i="5"/>
  <c r="Q101" i="5" s="1"/>
  <c r="K97" i="5"/>
  <c r="K102" i="5" s="1"/>
  <c r="O97" i="5"/>
  <c r="O102" i="5" s="1"/>
  <c r="Z96" i="5"/>
  <c r="Z101" i="5" s="1"/>
  <c r="P96" i="5"/>
  <c r="P101" i="5" s="1"/>
  <c r="L96" i="5"/>
  <c r="L101" i="5" s="1"/>
  <c r="Z98" i="5"/>
  <c r="Z103" i="5" s="1"/>
  <c r="V98" i="5"/>
  <c r="V103" i="5" s="1"/>
  <c r="G97" i="5"/>
  <c r="G102" i="5" s="1"/>
  <c r="T96" i="5"/>
  <c r="T101" i="5" s="1"/>
  <c r="F98" i="5"/>
  <c r="F103" i="5" s="1"/>
  <c r="AB96" i="5"/>
  <c r="AB101" i="5" s="1"/>
  <c r="V97" i="5"/>
  <c r="V102" i="5" s="1"/>
  <c r="S98" i="5"/>
  <c r="S103" i="5" s="1"/>
  <c r="T97" i="5"/>
  <c r="T102" i="5" s="1"/>
  <c r="AA96" i="5"/>
  <c r="AA101" i="5" s="1"/>
  <c r="AF97" i="5"/>
  <c r="AF102" i="5" s="1"/>
  <c r="M96" i="5"/>
  <c r="M101" i="5" s="1"/>
  <c r="Q97" i="5"/>
  <c r="Q102" i="5" s="1"/>
  <c r="X96" i="5"/>
  <c r="X101" i="5" s="1"/>
  <c r="AM10" i="5"/>
  <c r="W96" i="5"/>
  <c r="W101" i="5" s="1"/>
  <c r="AD96" i="5"/>
  <c r="AD101" i="5" s="1"/>
  <c r="G96" i="5"/>
  <c r="G101" i="5" s="1"/>
  <c r="AI98" i="5"/>
  <c r="AI103" i="5" s="1"/>
  <c r="AC98" i="5"/>
  <c r="AC103" i="5" s="1"/>
  <c r="L98" i="5"/>
  <c r="L103" i="5" s="1"/>
  <c r="R98" i="5"/>
  <c r="R103" i="5" s="1"/>
  <c r="AH97" i="5"/>
  <c r="AH102" i="5" s="1"/>
  <c r="S97" i="5"/>
  <c r="S102" i="5" s="1"/>
  <c r="W97" i="5"/>
  <c r="W102" i="5" s="1"/>
  <c r="AM78" i="5"/>
  <c r="AI96" i="5"/>
  <c r="AI101" i="5" s="1"/>
  <c r="AA97" i="5"/>
  <c r="AA102" i="5" s="1"/>
  <c r="U98" i="5"/>
  <c r="U103" i="5" s="1"/>
  <c r="W98" i="5"/>
  <c r="W103" i="5" s="1"/>
  <c r="AH96" i="5"/>
  <c r="AH101" i="5" s="1"/>
  <c r="AB97" i="5"/>
  <c r="AB102" i="5" s="1"/>
  <c r="AG98" i="5"/>
  <c r="AG103" i="5" s="1"/>
  <c r="AI97" i="5"/>
  <c r="AI102" i="5" s="1"/>
  <c r="O98" i="5"/>
  <c r="O103" i="5" s="1"/>
  <c r="AD97" i="5"/>
  <c r="AD102" i="5" s="1"/>
  <c r="J97" i="5"/>
  <c r="J102" i="5" s="1"/>
  <c r="V96" i="5"/>
  <c r="V101" i="5" s="1"/>
  <c r="P97" i="5"/>
  <c r="P102" i="5" s="1"/>
  <c r="U96" i="5"/>
  <c r="U101" i="5" s="1"/>
  <c r="F96" i="5"/>
  <c r="F101" i="5" s="1"/>
  <c r="Z97" i="5"/>
  <c r="Z102" i="5" s="1"/>
  <c r="T98" i="5"/>
  <c r="T103" i="5" s="1"/>
  <c r="P98" i="5"/>
  <c r="P103" i="5" s="1"/>
  <c r="I97" i="5"/>
  <c r="I102" i="5" s="1"/>
  <c r="AG97" i="5"/>
  <c r="AG102" i="5" s="1"/>
  <c r="U97" i="5"/>
  <c r="U102" i="5" s="1"/>
  <c r="M98" i="5"/>
  <c r="M103" i="5" s="1"/>
  <c r="AM8" i="5"/>
  <c r="AF98" i="5"/>
  <c r="AF103" i="5" s="1"/>
  <c r="AN43" i="5"/>
  <c r="K98" i="5"/>
  <c r="K103" i="5" s="1"/>
  <c r="R97" i="5"/>
  <c r="R102" i="5" s="1"/>
  <c r="AM9" i="5"/>
  <c r="AF96" i="5"/>
  <c r="AF101" i="5" s="1"/>
  <c r="G98" i="5"/>
  <c r="G103" i="5" s="1"/>
  <c r="AE98" i="5"/>
  <c r="AE103" i="5" s="1"/>
  <c r="O96" i="5"/>
  <c r="O101" i="5" s="1"/>
  <c r="AN78" i="5"/>
  <c r="AG96" i="5"/>
  <c r="AG101" i="5" s="1"/>
  <c r="L97" i="5"/>
  <c r="L102" i="5" s="1"/>
  <c r="X98" i="5"/>
  <c r="X103" i="5" s="1"/>
  <c r="AH98" i="5"/>
  <c r="AH103" i="5" s="1"/>
  <c r="H98" i="5"/>
  <c r="H103" i="5" s="1"/>
  <c r="Q98" i="5"/>
  <c r="Q103" i="5" s="1"/>
  <c r="H96" i="5"/>
  <c r="H101" i="5" s="1"/>
  <c r="AC97" i="5"/>
  <c r="AC102" i="5" s="1"/>
  <c r="M97" i="5"/>
  <c r="M102" i="5" s="1"/>
  <c r="AE96" i="5"/>
  <c r="AE101" i="5" s="1"/>
  <c r="Y96" i="5"/>
  <c r="Y101" i="5" s="1"/>
  <c r="S96" i="5"/>
  <c r="S101" i="5" s="1"/>
  <c r="N96" i="5"/>
  <c r="N101" i="5" s="1"/>
  <c r="N98" i="5"/>
  <c r="N103" i="5" s="1"/>
  <c r="AB98" i="5"/>
  <c r="AB103" i="5" s="1"/>
  <c r="AA98" i="5"/>
  <c r="AA103" i="5" s="1"/>
  <c r="AM43" i="5"/>
  <c r="Y52" i="5"/>
  <c r="Y44" i="5"/>
  <c r="V83" i="5"/>
  <c r="V84" i="5" s="1"/>
  <c r="V61" i="5"/>
  <c r="X52" i="5"/>
  <c r="X44" i="5"/>
  <c r="V70" i="5" l="1"/>
  <c r="V69" i="5" l="1"/>
  <c r="V73" i="5" s="1"/>
  <c r="V74" i="5" l="1"/>
  <c r="W72" i="5" s="1"/>
  <c r="V76" i="5"/>
  <c r="V80" i="5" s="1"/>
  <c r="V81" i="5" s="1"/>
  <c r="W47" i="5" l="1"/>
  <c r="W54" i="5" l="1"/>
  <c r="W55" i="5" s="1"/>
  <c r="W56" i="5" s="1"/>
  <c r="W57" i="5" s="1"/>
  <c r="W83" i="5" s="1"/>
  <c r="W84" i="5" s="1"/>
  <c r="W49" i="5"/>
  <c r="W59" i="5" l="1"/>
  <c r="W61" i="5"/>
  <c r="W70" i="5" l="1"/>
  <c r="W69" i="5" l="1"/>
  <c r="W73" i="5" s="1"/>
  <c r="W74" i="5" l="1"/>
  <c r="X72" i="5" s="1"/>
  <c r="W76" i="5"/>
  <c r="W80" i="5" s="1"/>
  <c r="W81" i="5" s="1"/>
  <c r="X47" i="5" l="1"/>
  <c r="X54" i="5" l="1"/>
  <c r="X55" i="5" s="1"/>
  <c r="X56" i="5" s="1"/>
  <c r="X57" i="5" s="1"/>
  <c r="X49" i="5"/>
  <c r="X83" i="5" l="1"/>
  <c r="X84" i="5" s="1"/>
  <c r="X61" i="5"/>
  <c r="X59" i="5"/>
  <c r="X70" i="5" l="1"/>
  <c r="X69" i="5" l="1"/>
  <c r="X73" i="5" s="1"/>
  <c r="X74" i="5" l="1"/>
  <c r="Y72" i="5" s="1"/>
  <c r="X76" i="5"/>
  <c r="X80" i="5" l="1"/>
  <c r="Y47" i="5"/>
  <c r="AM47" i="5" s="1"/>
  <c r="Y54" i="5" l="1"/>
  <c r="Y55" i="5" s="1"/>
  <c r="Y56" i="5" s="1"/>
  <c r="Y57" i="5" s="1"/>
  <c r="Y61" i="5" s="1"/>
  <c r="AM61" i="5" s="1"/>
  <c r="Y49" i="5"/>
  <c r="AM49" i="5" s="1"/>
  <c r="Y83" i="5" l="1"/>
  <c r="Y84" i="5" s="1"/>
  <c r="AM57" i="5"/>
  <c r="Y70" i="5"/>
  <c r="Y59" i="5"/>
  <c r="AM59" i="5" s="1"/>
  <c r="Y85" i="5" l="1"/>
  <c r="X85" i="5"/>
  <c r="W85" i="5"/>
  <c r="K85" i="5"/>
  <c r="G85" i="5"/>
  <c r="J85" i="5"/>
  <c r="M85" i="5"/>
  <c r="U85" i="5"/>
  <c r="L85" i="5"/>
  <c r="T85" i="5"/>
  <c r="S85" i="5"/>
  <c r="V85" i="5"/>
  <c r="O85" i="5"/>
  <c r="H85" i="5"/>
  <c r="R85" i="5"/>
  <c r="P85" i="5"/>
  <c r="F85" i="5"/>
  <c r="I85" i="5"/>
  <c r="N85" i="5"/>
  <c r="Q85" i="5"/>
  <c r="Y69" i="5"/>
  <c r="Y73" i="5" s="1"/>
  <c r="AM73" i="5" s="1"/>
  <c r="Y74" i="5" l="1"/>
  <c r="Z72" i="5" s="1"/>
  <c r="Y76" i="5"/>
  <c r="Y80" i="5" l="1"/>
  <c r="AM76" i="5"/>
  <c r="Z47" i="5"/>
  <c r="F91" i="5" l="1"/>
  <c r="T91" i="5"/>
  <c r="Z91" i="5"/>
  <c r="O91" i="5"/>
  <c r="AE91" i="5"/>
  <c r="R91" i="5"/>
  <c r="K91" i="5"/>
  <c r="AC91" i="5"/>
  <c r="AD91" i="5"/>
  <c r="G91" i="5"/>
  <c r="AH91" i="5"/>
  <c r="AI91" i="5"/>
  <c r="P91" i="5"/>
  <c r="AA91" i="5"/>
  <c r="V91" i="5"/>
  <c r="AF91" i="5"/>
  <c r="S91" i="5"/>
  <c r="H91" i="5"/>
  <c r="Q91" i="5"/>
  <c r="M91" i="5"/>
  <c r="W91" i="5"/>
  <c r="AG91" i="5"/>
  <c r="J91" i="5"/>
  <c r="N91" i="5"/>
  <c r="X91" i="5"/>
  <c r="AM80" i="5"/>
  <c r="U91" i="5"/>
  <c r="Y91" i="5"/>
  <c r="L91" i="5"/>
  <c r="AB91" i="5"/>
  <c r="I91" i="5"/>
  <c r="AM12" i="5"/>
  <c r="C15" i="5" s="1"/>
  <c r="F5" i="6" s="1"/>
  <c r="F7" i="6" s="1"/>
  <c r="Z54" i="5"/>
  <c r="Z55" i="5" s="1"/>
  <c r="Z56" i="5" s="1"/>
  <c r="Z57" i="5" s="1"/>
  <c r="Z83" i="5" s="1"/>
  <c r="Z49" i="5"/>
  <c r="Z84" i="5" l="1"/>
  <c r="Z85" i="5"/>
  <c r="Z61" i="5"/>
  <c r="Z59" i="5"/>
  <c r="Z70" i="5" l="1"/>
  <c r="Z69" i="5" s="1"/>
  <c r="Z73" i="5" s="1"/>
  <c r="Z74" i="5" l="1"/>
  <c r="AA72" i="5" s="1"/>
  <c r="AA47" i="5" s="1"/>
  <c r="Z76" i="5"/>
  <c r="Z80" i="5" s="1"/>
  <c r="AA54" i="5" l="1"/>
  <c r="AA55" i="5" s="1"/>
  <c r="AA56" i="5" s="1"/>
  <c r="AA57" i="5" s="1"/>
  <c r="AA83" i="5" s="1"/>
  <c r="AA49" i="5"/>
  <c r="AA84" i="5" l="1"/>
  <c r="AA85" i="5"/>
  <c r="AA61" i="5"/>
  <c r="AA59" i="5"/>
  <c r="AA70" i="5" l="1"/>
  <c r="AA69" i="5" s="1"/>
  <c r="AA73" i="5" s="1"/>
  <c r="AA74" i="5" l="1"/>
  <c r="AB72" i="5" s="1"/>
  <c r="AB47" i="5" s="1"/>
  <c r="AA76" i="5"/>
  <c r="AA80" i="5" s="1"/>
  <c r="AB54" i="5" l="1"/>
  <c r="AB55" i="5" s="1"/>
  <c r="AB56" i="5" s="1"/>
  <c r="AB57" i="5" s="1"/>
  <c r="AB49" i="5"/>
  <c r="AB59" i="5" l="1"/>
  <c r="AB61" i="5"/>
  <c r="AB70" i="5" s="1"/>
  <c r="AB69" i="5" s="1"/>
  <c r="AB83" i="5"/>
  <c r="AB84" i="5" s="1"/>
  <c r="AB85" i="5"/>
  <c r="AB73" i="5" l="1"/>
  <c r="AB74" i="5" l="1"/>
  <c r="AB76" i="5"/>
  <c r="AB80" i="5" s="1"/>
  <c r="AC72" i="5" l="1"/>
  <c r="AC47" i="5" s="1"/>
  <c r="AC54" i="5" s="1"/>
  <c r="AC55" i="5" l="1"/>
  <c r="AC56" i="5" s="1"/>
  <c r="AC49" i="5"/>
  <c r="AC57" i="5" l="1"/>
  <c r="AC83" i="5" l="1"/>
  <c r="AC84" i="5" s="1"/>
  <c r="AC59" i="5"/>
  <c r="AC61" i="5"/>
  <c r="AC70" i="5" s="1"/>
  <c r="AC85" i="5" l="1"/>
  <c r="AC69" i="5"/>
  <c r="AC73" i="5" l="1"/>
  <c r="AC74" i="5" l="1"/>
  <c r="AC76" i="5"/>
  <c r="AC80" i="5" s="1"/>
  <c r="AD72" i="5" l="1"/>
  <c r="AD47" i="5" s="1"/>
  <c r="AD54" i="5" s="1"/>
  <c r="AD55" i="5" l="1"/>
  <c r="AD56" i="5" s="1"/>
  <c r="AD49" i="5"/>
  <c r="AD57" i="5" l="1"/>
  <c r="AD83" i="5" l="1"/>
  <c r="AD85" i="5" s="1"/>
  <c r="AD59" i="5"/>
  <c r="AD61" i="5"/>
  <c r="AD70" i="5" s="1"/>
  <c r="AD84" i="5" l="1"/>
  <c r="AD69" i="5"/>
  <c r="AD73" i="5" l="1"/>
  <c r="AD74" i="5" l="1"/>
  <c r="AE72" i="5" s="1"/>
  <c r="AE47" i="5" s="1"/>
  <c r="AE54" i="5" s="1"/>
  <c r="AD76" i="5"/>
  <c r="AD80" i="5" s="1"/>
  <c r="I92" i="5" l="1"/>
  <c r="O92" i="5"/>
  <c r="AI92" i="5"/>
  <c r="H92" i="5"/>
  <c r="Z92" i="5"/>
  <c r="S92" i="5"/>
  <c r="AE92" i="5"/>
  <c r="Q92" i="5"/>
  <c r="AB92" i="5"/>
  <c r="AA92" i="5"/>
  <c r="V92" i="5"/>
  <c r="G92" i="5"/>
  <c r="P92" i="5"/>
  <c r="M92" i="5"/>
  <c r="X92" i="5"/>
  <c r="W92" i="5"/>
  <c r="AG92" i="5"/>
  <c r="K92" i="5"/>
  <c r="AF92" i="5"/>
  <c r="F92" i="5"/>
  <c r="R92" i="5"/>
  <c r="N92" i="5"/>
  <c r="U92" i="5"/>
  <c r="L92" i="5"/>
  <c r="AD92" i="5"/>
  <c r="T92" i="5"/>
  <c r="AC92" i="5"/>
  <c r="Y92" i="5"/>
  <c r="J92" i="5"/>
  <c r="AH92" i="5"/>
  <c r="AM13" i="5"/>
  <c r="AE55" i="5" l="1"/>
  <c r="AE56" i="5" s="1"/>
  <c r="AE49" i="5"/>
  <c r="AE57" i="5" l="1"/>
  <c r="AE83" i="5" l="1"/>
  <c r="AE85" i="5" s="1"/>
  <c r="AE59" i="5"/>
  <c r="AE61" i="5"/>
  <c r="AE70" i="5" s="1"/>
  <c r="AE84" i="5" l="1"/>
  <c r="AE69" i="5"/>
  <c r="AE73" i="5" s="1"/>
  <c r="AE74" i="5" l="1"/>
  <c r="AF72" i="5" s="1"/>
  <c r="AF47" i="5" s="1"/>
  <c r="AF54" i="5" s="1"/>
  <c r="AE76" i="5"/>
  <c r="AE80" i="5" s="1"/>
  <c r="AF55" i="5" l="1"/>
  <c r="AF56" i="5" s="1"/>
  <c r="AF49" i="5"/>
  <c r="AF57" i="5" l="1"/>
  <c r="AF83" i="5" l="1"/>
  <c r="AF85" i="5" s="1"/>
  <c r="AF61" i="5"/>
  <c r="AF59" i="5"/>
  <c r="AF70" i="5" l="1"/>
  <c r="AF69" i="5" s="1"/>
  <c r="AF73" i="5" s="1"/>
  <c r="AF84" i="5"/>
  <c r="AF74" i="5" l="1"/>
  <c r="AG72" i="5" s="1"/>
  <c r="AG47" i="5" s="1"/>
  <c r="AG54" i="5" s="1"/>
  <c r="AG55" i="5" s="1"/>
  <c r="AG56" i="5" s="1"/>
  <c r="AF76" i="5"/>
  <c r="AF80" i="5" s="1"/>
  <c r="AG49" i="5" l="1"/>
  <c r="AG57" i="5"/>
  <c r="AG83" i="5" l="1"/>
  <c r="AG85" i="5" s="1"/>
  <c r="AG59" i="5"/>
  <c r="AG61" i="5"/>
  <c r="AG84" i="5" l="1"/>
  <c r="AG70" i="5"/>
  <c r="AG69" i="5" s="1"/>
  <c r="AG73" i="5" s="1"/>
  <c r="AG74" i="5" l="1"/>
  <c r="AH72" i="5" s="1"/>
  <c r="AH47" i="5" s="1"/>
  <c r="AH54" i="5" s="1"/>
  <c r="AG76" i="5"/>
  <c r="AG80" i="5" s="1"/>
  <c r="AH55" i="5" l="1"/>
  <c r="AH56" i="5" s="1"/>
  <c r="AH49" i="5"/>
  <c r="AH57" i="5" l="1"/>
  <c r="AH83" i="5" l="1"/>
  <c r="AH85" i="5" s="1"/>
  <c r="AH59" i="5"/>
  <c r="AH61" i="5"/>
  <c r="AH70" i="5" s="1"/>
  <c r="AH84" i="5" l="1"/>
  <c r="AH69" i="5"/>
  <c r="AH73" i="5" s="1"/>
  <c r="AH76" i="5" l="1"/>
  <c r="AH80" i="5" s="1"/>
  <c r="AH74" i="5"/>
  <c r="AI72" i="5" s="1"/>
  <c r="AI47" i="5" s="1"/>
  <c r="AI54" i="5" l="1"/>
  <c r="AI55" i="5" s="1"/>
  <c r="AI56" i="5" s="1"/>
  <c r="AN47" i="5"/>
  <c r="AI49" i="5"/>
  <c r="AN49" i="5" s="1"/>
  <c r="AI57" i="5" l="1"/>
  <c r="AN57" i="5" s="1"/>
  <c r="AI83" i="5" l="1"/>
  <c r="AI85" i="5" s="1"/>
  <c r="AI61" i="5"/>
  <c r="AI70" i="5" s="1"/>
  <c r="AI59" i="5"/>
  <c r="AN59" i="5" s="1"/>
  <c r="AN61" i="5" l="1"/>
  <c r="AI69" i="5"/>
  <c r="AI73" i="5" s="1"/>
  <c r="AN73" i="5" s="1"/>
  <c r="AI84" i="5"/>
  <c r="AM16" i="5" s="1"/>
  <c r="C16" i="5" s="1"/>
  <c r="H5" i="6" s="1"/>
  <c r="H7" i="6" s="1"/>
  <c r="AI76" i="5" l="1"/>
  <c r="AN76" i="5" s="1"/>
  <c r="AI74" i="5"/>
  <c r="AI80" i="5" l="1"/>
  <c r="AE93" i="5" s="1"/>
  <c r="AN80" i="5" l="1"/>
  <c r="AM14" i="5"/>
  <c r="AD93" i="5"/>
  <c r="R93" i="5"/>
  <c r="Q93" i="5"/>
  <c r="AH93" i="5"/>
  <c r="O93" i="5"/>
  <c r="AF93" i="5"/>
  <c r="AI93" i="5"/>
  <c r="N93" i="5"/>
  <c r="AG93" i="5"/>
  <c r="G93" i="5"/>
  <c r="U93" i="5"/>
  <c r="P93" i="5"/>
  <c r="AA93" i="5"/>
  <c r="F93" i="5"/>
  <c r="Z93" i="5"/>
  <c r="X93" i="5"/>
  <c r="W93" i="5"/>
  <c r="T93" i="5"/>
  <c r="L93" i="5"/>
  <c r="V93" i="5"/>
  <c r="M93" i="5"/>
  <c r="AC93" i="5"/>
  <c r="I93" i="5"/>
  <c r="J93" i="5"/>
  <c r="K93" i="5"/>
  <c r="Y93" i="5"/>
  <c r="H93" i="5"/>
  <c r="AB93" i="5"/>
  <c r="S93" i="5"/>
</calcChain>
</file>

<file path=xl/sharedStrings.xml><?xml version="1.0" encoding="utf-8"?>
<sst xmlns="http://schemas.openxmlformats.org/spreadsheetml/2006/main" count="225" uniqueCount="149">
  <si>
    <t>kWh / kWp</t>
  </si>
  <si>
    <t>%</t>
  </si>
  <si>
    <t>a</t>
  </si>
  <si>
    <t>EBIT</t>
  </si>
  <si>
    <t>shareholders loan - opening balance</t>
  </si>
  <si>
    <t>% of equity</t>
  </si>
  <si>
    <t>repayment shareholders loan</t>
  </si>
  <si>
    <t>bank debt - closing balance</t>
  </si>
  <si>
    <t>shareholders loan - closing balance</t>
  </si>
  <si>
    <t>CFADS (bank debt)</t>
  </si>
  <si>
    <t>ADSCR</t>
  </si>
  <si>
    <t>% p.a.</t>
  </si>
  <si>
    <t>x</t>
  </si>
  <si>
    <t>ROI (20y)</t>
  </si>
  <si>
    <t>% of revenue</t>
  </si>
  <si>
    <t>% of costs</t>
  </si>
  <si>
    <t>∑ 1-20</t>
  </si>
  <si>
    <t>∑ 1-30</t>
  </si>
  <si>
    <t>EBIT margin</t>
  </si>
  <si>
    <t>finance plan</t>
  </si>
  <si>
    <t>LDSCR (20a)</t>
  </si>
  <si>
    <t>%.p.a.</t>
  </si>
  <si>
    <t>NPV (20a)</t>
  </si>
  <si>
    <t>NPV (25a)</t>
  </si>
  <si>
    <t>NPV (30a)</t>
  </si>
  <si>
    <t>% on capex</t>
  </si>
  <si>
    <t>MWh</t>
  </si>
  <si>
    <t>tax &amp; misc</t>
  </si>
  <si>
    <t>project NPV</t>
  </si>
  <si>
    <t>equity NPV</t>
  </si>
  <si>
    <t>equity NPV (20a)</t>
  </si>
  <si>
    <t>equity NPV (25a)</t>
  </si>
  <si>
    <t>equity NPV (30a)</t>
  </si>
  <si>
    <t>project NPV / kWh</t>
  </si>
  <si>
    <t>taxable base IRES</t>
  </si>
  <si>
    <t>tax (IRES)</t>
  </si>
  <si>
    <t>Comment</t>
  </si>
  <si>
    <t>project price including
EPC, project rights, DDS/land lease (upfront), financing costs</t>
  </si>
  <si>
    <t>ROI as
EBITDA/Invest</t>
  </si>
  <si>
    <t>Projekt Ceneselli / PV Carport 12,6 MWp</t>
  </si>
  <si>
    <t>szenario</t>
  </si>
  <si>
    <t>equity-irr (20y)
in %</t>
  </si>
  <si>
    <t>ROI 
in %</t>
  </si>
  <si>
    <t>ADSCR
(min)</t>
  </si>
  <si>
    <t>interests (incl. tax limitation)</t>
  </si>
  <si>
    <t>Base Case</t>
  </si>
  <si>
    <t>kWp</t>
  </si>
  <si>
    <t>project price 
in $/ kWp</t>
  </si>
  <si>
    <t>project price 
in $m</t>
  </si>
  <si>
    <t>Kurulu Kapasite</t>
  </si>
  <si>
    <t>Işınım Verimi</t>
  </si>
  <si>
    <t>Bozunum Oranı</t>
  </si>
  <si>
    <t>Tarife Süresi</t>
  </si>
  <si>
    <t>Enerji Satış Fiyatı</t>
  </si>
  <si>
    <t>Enerji Üretimi ve Enerji fiyatı</t>
  </si>
  <si>
    <t>T$</t>
  </si>
  <si>
    <t>$/ kWp</t>
  </si>
  <si>
    <t>Yatırım Sermayesi</t>
  </si>
  <si>
    <t>Yatırım</t>
  </si>
  <si>
    <t>Kurulum Maliyeti</t>
  </si>
  <si>
    <t>arazi kiralama (avans)</t>
  </si>
  <si>
    <t>Proje Hakları</t>
  </si>
  <si>
    <t>Diğer Giderler</t>
  </si>
  <si>
    <t>amortisman</t>
  </si>
  <si>
    <t>İşletme Giderleri</t>
  </si>
  <si>
    <t>İşletme Maliyetleri</t>
  </si>
  <si>
    <t>enflasyon</t>
  </si>
  <si>
    <t>Kiralama</t>
  </si>
  <si>
    <t>Ticari Operasyon Giderleri</t>
  </si>
  <si>
    <t>Sigorta</t>
  </si>
  <si>
    <t>Tamirler</t>
  </si>
  <si>
    <t>Garanti Giderleri</t>
  </si>
  <si>
    <t>Diğerleri</t>
  </si>
  <si>
    <t>Toplam</t>
  </si>
  <si>
    <t>Finans</t>
  </si>
  <si>
    <t>Öz Kaynak</t>
  </si>
  <si>
    <t>Borç</t>
  </si>
  <si>
    <t>Faiz Oranı</t>
  </si>
  <si>
    <t>Geri Ödeme Süresi</t>
  </si>
  <si>
    <t>Geri Ödeme Başlangıcı</t>
  </si>
  <si>
    <t>Nakit Rezervi</t>
  </si>
  <si>
    <t>Hissedarlar Kredisi</t>
  </si>
  <si>
    <t>Hissedarlar Kredisi Faizi</t>
  </si>
  <si>
    <t>Kurumlar Vergisi</t>
  </si>
  <si>
    <t>Yerel Vergi</t>
  </si>
  <si>
    <t>İşletme Sermayesi</t>
  </si>
  <si>
    <t xml:space="preserve">Çarpan </t>
  </si>
  <si>
    <t>Başlangıç</t>
  </si>
  <si>
    <t>Sonuçlar</t>
  </si>
  <si>
    <t>Proje İç Karlılık oranı (20y)</t>
  </si>
  <si>
    <t>Proje İç Karlılık oranı  (25y)</t>
  </si>
  <si>
    <t>Proje İç Karlılık oranı  (30y)</t>
  </si>
  <si>
    <t>Öz Sermaye IKK (20y)</t>
  </si>
  <si>
    <t>Öz Sermaye IKK (25y)</t>
  </si>
  <si>
    <t>Öz Sermaye IKK (30y)</t>
  </si>
  <si>
    <t xml:space="preserve"> krş / kWh</t>
  </si>
  <si>
    <t>krş / kWh</t>
  </si>
  <si>
    <t>Proje Antalya</t>
  </si>
  <si>
    <t>Beher kWh başına Yatırım</t>
  </si>
  <si>
    <t>Toplam Yatırım</t>
  </si>
  <si>
    <t>Yıllar</t>
  </si>
  <si>
    <t>Birim</t>
  </si>
  <si>
    <t>krş/ kWh</t>
  </si>
  <si>
    <t>Enerji Satışı (FIT)</t>
  </si>
  <si>
    <t>Enerji Satışı</t>
  </si>
  <si>
    <t>Gelirler</t>
  </si>
  <si>
    <t>Ticari Operasyonlar</t>
  </si>
  <si>
    <t>Tamir</t>
  </si>
  <si>
    <t>Diğer</t>
  </si>
  <si>
    <t>Toplam Operasyon Maliyet</t>
  </si>
  <si>
    <t>Geri dönüş Süresi (ROI)</t>
  </si>
  <si>
    <t>Borç Kaldıracı Oranı</t>
  </si>
  <si>
    <t>ROI 20 y (EBITDA/Invest)</t>
  </si>
  <si>
    <t>₺</t>
  </si>
  <si>
    <t>Bin ₺</t>
  </si>
  <si>
    <t>₺ / kWp</t>
  </si>
  <si>
    <t>₺milyon</t>
  </si>
  <si>
    <t>₺ / kWh</t>
  </si>
  <si>
    <t>Bin₺</t>
  </si>
  <si>
    <t xml:space="preserve"> gelirin  %</t>
  </si>
  <si>
    <t>Vergiler (Kurumlar+ Diğer)</t>
  </si>
  <si>
    <t>Nakit akışı</t>
  </si>
  <si>
    <t>Geri Ödeme Banka Borcu</t>
  </si>
  <si>
    <t>nakit rezerv (- artış / + azalma)</t>
  </si>
  <si>
    <t>öz sermaye için mevcut nakit akışı</t>
  </si>
  <si>
    <t>Proje Dönüşü</t>
  </si>
  <si>
    <t>Tarife (FIT)</t>
  </si>
  <si>
    <t>Bakım ve Onarım</t>
  </si>
  <si>
    <t>min. Borçlanma karşılama oranı (ADSCR)</t>
  </si>
  <si>
    <t>Finans Maliyetleri</t>
  </si>
  <si>
    <t>Amortisman</t>
  </si>
  <si>
    <t>FAVÖK (EBITDA)</t>
  </si>
  <si>
    <t>FAVÖK (EBITDA) marjı</t>
  </si>
  <si>
    <t>Borç Faizi</t>
  </si>
  <si>
    <t>hissedarlar kredi faizi</t>
  </si>
  <si>
    <t>Vergi öncesi Kar</t>
  </si>
  <si>
    <t>banka borcu - açılış bakiyesi</t>
  </si>
  <si>
    <t>Nakit Rezerv</t>
  </si>
  <si>
    <t>Enerji</t>
  </si>
  <si>
    <t>temettü ve hissedar kredisi borç servisi</t>
  </si>
  <si>
    <t>Gelir %</t>
  </si>
  <si>
    <t>Peryot</t>
  </si>
  <si>
    <t>Birimler</t>
  </si>
  <si>
    <t>Vergi Sonrası Net Faaliyet Karı</t>
  </si>
  <si>
    <t>Yerel - Vergi Hesaplaması</t>
  </si>
  <si>
    <t>Vergi(lokal)</t>
  </si>
  <si>
    <t>kurumlar Vergisi Hesaplama</t>
  </si>
  <si>
    <t>Dağıtım Bedeli</t>
  </si>
  <si>
    <t>Ortalama Enerji Satış Fiyatı Artış oranı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</si>
</sst>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0.0%"/>
    <numFmt numFmtId="165" formatCode="#,##0.0"/>
    <numFmt numFmtId="166" formatCode="yyyy"/>
    <numFmt numFmtId="167" formatCode="#,##0&quot; kWh/kWp&quot;"/>
    <numFmt numFmtId="168" formatCode="0.0"/>
    <numFmt numFmtId="169" formatCode="#,##0.00&quot; ₺m&quot;"/>
    <numFmt numFmtId="170" formatCode="0.0000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i/>
      <sz val="11"/>
      <color theme="0" tint="-0.499984740745262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b/>
      <sz val="11"/>
      <color theme="0" tint="-0.499984740745262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i/>
      <sz val="11"/>
      <color theme="0" tint="-0.499984740745262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6" tint="0.79998168889431442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15">
    <xf numFmtId="0" fontId="0" fillId="0" borderId="0" xfId="0"/>
    <xf numFmtId="0" fontId="0" fillId="2" borderId="0" xfId="0" applyFill="1"/>
    <xf numFmtId="0" fontId="0" fillId="2" borderId="0" xfId="0" applyFill="1" applyAlignment="1">
      <alignment horizontal="right"/>
    </xf>
    <xf numFmtId="10" fontId="0" fillId="2" borderId="0" xfId="0" applyNumberFormat="1" applyFill="1"/>
    <xf numFmtId="1" fontId="0" fillId="2" borderId="0" xfId="0" applyNumberFormat="1" applyFill="1"/>
    <xf numFmtId="0" fontId="0" fillId="2" borderId="0" xfId="0" applyFill="1" applyAlignment="1">
      <alignment horizontal="left"/>
    </xf>
    <xf numFmtId="9" fontId="0" fillId="2" borderId="0" xfId="0" applyNumberFormat="1" applyFill="1"/>
    <xf numFmtId="9" fontId="0" fillId="2" borderId="0" xfId="1" applyFont="1" applyFill="1"/>
    <xf numFmtId="2" fontId="0" fillId="2" borderId="0" xfId="0" applyNumberFormat="1" applyFill="1"/>
    <xf numFmtId="164" fontId="0" fillId="2" borderId="0" xfId="0" applyNumberFormat="1" applyFill="1"/>
    <xf numFmtId="0" fontId="2" fillId="2" borderId="0" xfId="0" applyFont="1" applyFill="1"/>
    <xf numFmtId="0" fontId="2" fillId="2" borderId="1" xfId="0" applyFont="1" applyFill="1" applyBorder="1"/>
    <xf numFmtId="0" fontId="0" fillId="2" borderId="1" xfId="0" applyFill="1" applyBorder="1"/>
    <xf numFmtId="0" fontId="2" fillId="2" borderId="0" xfId="0" applyFont="1" applyFill="1" applyBorder="1"/>
    <xf numFmtId="0" fontId="0" fillId="2" borderId="0" xfId="0" applyFill="1" applyBorder="1"/>
    <xf numFmtId="0" fontId="0" fillId="2" borderId="1" xfId="0" applyFill="1" applyBorder="1" applyAlignment="1">
      <alignment horizontal="right"/>
    </xf>
    <xf numFmtId="0" fontId="2" fillId="2" borderId="1" xfId="0" applyFont="1" applyFill="1" applyBorder="1" applyAlignment="1">
      <alignment horizontal="right"/>
    </xf>
    <xf numFmtId="164" fontId="0" fillId="2" borderId="0" xfId="1" applyNumberFormat="1" applyFont="1" applyFill="1"/>
    <xf numFmtId="0" fontId="2" fillId="2" borderId="0" xfId="0" applyFont="1" applyFill="1" applyBorder="1" applyAlignment="1">
      <alignment horizontal="right"/>
    </xf>
    <xf numFmtId="164" fontId="2" fillId="2" borderId="0" xfId="1" applyNumberFormat="1" applyFont="1" applyFill="1"/>
    <xf numFmtId="9" fontId="2" fillId="2" borderId="0" xfId="1" applyFont="1" applyFill="1"/>
    <xf numFmtId="9" fontId="2" fillId="2" borderId="0" xfId="0" applyNumberFormat="1" applyFont="1" applyFill="1"/>
    <xf numFmtId="2" fontId="2" fillId="2" borderId="0" xfId="0" applyNumberFormat="1" applyFont="1" applyFill="1"/>
    <xf numFmtId="9" fontId="2" fillId="2" borderId="1" xfId="1" applyFont="1" applyFill="1" applyBorder="1"/>
    <xf numFmtId="164" fontId="2" fillId="2" borderId="1" xfId="1" applyNumberFormat="1" applyFont="1" applyFill="1" applyBorder="1"/>
    <xf numFmtId="9" fontId="2" fillId="2" borderId="1" xfId="1" applyFont="1" applyFill="1" applyBorder="1" applyAlignment="1">
      <alignment horizontal="right"/>
    </xf>
    <xf numFmtId="164" fontId="2" fillId="2" borderId="1" xfId="1" applyNumberFormat="1" applyFont="1" applyFill="1" applyBorder="1" applyAlignment="1">
      <alignment horizontal="right"/>
    </xf>
    <xf numFmtId="0" fontId="0" fillId="2" borderId="0" xfId="0" applyFill="1" applyBorder="1" applyAlignment="1">
      <alignment horizontal="right"/>
    </xf>
    <xf numFmtId="3" fontId="0" fillId="2" borderId="0" xfId="0" applyNumberFormat="1" applyFill="1"/>
    <xf numFmtId="3" fontId="2" fillId="2" borderId="1" xfId="0" applyNumberFormat="1" applyFont="1" applyFill="1" applyBorder="1"/>
    <xf numFmtId="3" fontId="2" fillId="2" borderId="1" xfId="0" applyNumberFormat="1" applyFont="1" applyFill="1" applyBorder="1" applyAlignment="1">
      <alignment horizontal="right"/>
    </xf>
    <xf numFmtId="165" fontId="0" fillId="2" borderId="0" xfId="0" applyNumberFormat="1" applyFill="1"/>
    <xf numFmtId="10" fontId="0" fillId="2" borderId="0" xfId="1" applyNumberFormat="1" applyFont="1" applyFill="1"/>
    <xf numFmtId="10" fontId="0" fillId="2" borderId="1" xfId="0" applyNumberFormat="1" applyFill="1" applyBorder="1"/>
    <xf numFmtId="3" fontId="0" fillId="2" borderId="1" xfId="0" applyNumberFormat="1" applyFill="1" applyBorder="1"/>
    <xf numFmtId="0" fontId="3" fillId="2" borderId="0" xfId="0" applyFont="1" applyFill="1" applyAlignment="1">
      <alignment horizontal="left" vertical="top"/>
    </xf>
    <xf numFmtId="3" fontId="0" fillId="2" borderId="0" xfId="0" applyNumberFormat="1" applyFont="1" applyFill="1"/>
    <xf numFmtId="4" fontId="2" fillId="2" borderId="0" xfId="0" applyNumberFormat="1" applyFont="1" applyFill="1"/>
    <xf numFmtId="4" fontId="0" fillId="2" borderId="0" xfId="0" applyNumberFormat="1" applyFill="1"/>
    <xf numFmtId="10" fontId="0" fillId="2" borderId="0" xfId="0" applyNumberFormat="1" applyFont="1" applyFill="1"/>
    <xf numFmtId="17" fontId="0" fillId="2" borderId="0" xfId="0" applyNumberFormat="1" applyFill="1" applyBorder="1"/>
    <xf numFmtId="166" fontId="0" fillId="2" borderId="1" xfId="0" applyNumberFormat="1" applyFont="1" applyFill="1" applyBorder="1"/>
    <xf numFmtId="9" fontId="4" fillId="2" borderId="0" xfId="1" applyFont="1" applyFill="1"/>
    <xf numFmtId="9" fontId="4" fillId="2" borderId="0" xfId="1" applyFont="1" applyFill="1" applyAlignment="1">
      <alignment horizontal="right"/>
    </xf>
    <xf numFmtId="3" fontId="4" fillId="2" borderId="0" xfId="1" applyNumberFormat="1" applyFont="1" applyFill="1"/>
    <xf numFmtId="2" fontId="0" fillId="2" borderId="0" xfId="0" applyNumberFormat="1" applyFont="1" applyFill="1"/>
    <xf numFmtId="167" fontId="0" fillId="2" borderId="0" xfId="0" applyNumberFormat="1" applyFill="1"/>
    <xf numFmtId="168" fontId="0" fillId="2" borderId="0" xfId="0" applyNumberFormat="1" applyFill="1"/>
    <xf numFmtId="0" fontId="0" fillId="2" borderId="0" xfId="0" applyFill="1" applyAlignment="1">
      <alignment horizontal="left" indent="1"/>
    </xf>
    <xf numFmtId="165" fontId="0" fillId="2" borderId="0" xfId="1" applyNumberFormat="1" applyFont="1" applyFill="1"/>
    <xf numFmtId="0" fontId="3" fillId="2" borderId="0" xfId="0" applyFont="1" applyFill="1" applyAlignment="1">
      <alignment vertical="top" wrapText="1"/>
    </xf>
    <xf numFmtId="0" fontId="0" fillId="2" borderId="2" xfId="0" applyFill="1" applyBorder="1" applyAlignment="1">
      <alignment horizontal="right" wrapText="1"/>
    </xf>
    <xf numFmtId="0" fontId="0" fillId="2" borderId="1" xfId="0" applyFill="1" applyBorder="1" applyAlignment="1">
      <alignment vertical="top"/>
    </xf>
    <xf numFmtId="0" fontId="0" fillId="2" borderId="1" xfId="0" applyFill="1" applyBorder="1" applyAlignment="1">
      <alignment vertical="top" wrapText="1"/>
    </xf>
    <xf numFmtId="0" fontId="0" fillId="2" borderId="1" xfId="0" applyFill="1" applyBorder="1" applyAlignment="1">
      <alignment horizontal="right" vertical="top" wrapText="1"/>
    </xf>
    <xf numFmtId="164" fontId="0" fillId="2" borderId="1" xfId="1" applyNumberFormat="1" applyFont="1" applyFill="1" applyBorder="1"/>
    <xf numFmtId="2" fontId="0" fillId="2" borderId="1" xfId="0" applyNumberFormat="1" applyFill="1" applyBorder="1"/>
    <xf numFmtId="4" fontId="0" fillId="2" borderId="1" xfId="0" applyNumberFormat="1" applyFill="1" applyBorder="1"/>
    <xf numFmtId="165" fontId="0" fillId="2" borderId="1" xfId="0" applyNumberFormat="1" applyFill="1" applyBorder="1"/>
    <xf numFmtId="0" fontId="0" fillId="2" borderId="2" xfId="0" applyFill="1" applyBorder="1" applyAlignment="1">
      <alignment wrapText="1"/>
    </xf>
    <xf numFmtId="164" fontId="0" fillId="2" borderId="1" xfId="0" applyNumberFormat="1" applyFill="1" applyBorder="1"/>
    <xf numFmtId="0" fontId="0" fillId="2" borderId="2" xfId="0" applyFill="1" applyBorder="1" applyAlignment="1">
      <alignment horizontal="right"/>
    </xf>
    <xf numFmtId="166" fontId="6" fillId="2" borderId="1" xfId="0" applyNumberFormat="1" applyFont="1" applyFill="1" applyBorder="1"/>
    <xf numFmtId="0" fontId="6" fillId="2" borderId="0" xfId="0" applyFont="1" applyFill="1"/>
    <xf numFmtId="3" fontId="6" fillId="2" borderId="0" xfId="0" applyNumberFormat="1" applyFont="1" applyFill="1"/>
    <xf numFmtId="4" fontId="6" fillId="2" borderId="0" xfId="0" applyNumberFormat="1" applyFont="1" applyFill="1"/>
    <xf numFmtId="3" fontId="7" fillId="2" borderId="1" xfId="0" applyNumberFormat="1" applyFont="1" applyFill="1" applyBorder="1"/>
    <xf numFmtId="165" fontId="6" fillId="2" borderId="0" xfId="0" applyNumberFormat="1" applyFont="1" applyFill="1"/>
    <xf numFmtId="3" fontId="7" fillId="2" borderId="1" xfId="0" applyNumberFormat="1" applyFont="1" applyFill="1" applyBorder="1" applyAlignment="1">
      <alignment horizontal="right"/>
    </xf>
    <xf numFmtId="17" fontId="6" fillId="2" borderId="0" xfId="0" applyNumberFormat="1" applyFont="1" applyFill="1" applyBorder="1"/>
    <xf numFmtId="1" fontId="6" fillId="2" borderId="0" xfId="0" applyNumberFormat="1" applyFont="1" applyFill="1"/>
    <xf numFmtId="14" fontId="0" fillId="2" borderId="0" xfId="0" applyNumberFormat="1" applyFill="1"/>
    <xf numFmtId="1" fontId="0" fillId="3" borderId="0" xfId="0" applyNumberFormat="1" applyFill="1"/>
    <xf numFmtId="3" fontId="0" fillId="3" borderId="0" xfId="0" applyNumberFormat="1" applyFill="1"/>
    <xf numFmtId="10" fontId="0" fillId="3" borderId="0" xfId="0" applyNumberFormat="1" applyFill="1"/>
    <xf numFmtId="2" fontId="0" fillId="3" borderId="0" xfId="0" applyNumberFormat="1" applyFill="1"/>
    <xf numFmtId="0" fontId="0" fillId="3" borderId="0" xfId="0" applyFill="1"/>
    <xf numFmtId="1" fontId="0" fillId="4" borderId="0" xfId="0" applyNumberFormat="1" applyFill="1"/>
    <xf numFmtId="3" fontId="0" fillId="4" borderId="0" xfId="0" applyNumberFormat="1" applyFill="1"/>
    <xf numFmtId="3" fontId="0" fillId="0" borderId="0" xfId="0" applyNumberFormat="1" applyFill="1"/>
    <xf numFmtId="164" fontId="0" fillId="3" borderId="0" xfId="1" applyNumberFormat="1" applyFont="1" applyFill="1"/>
    <xf numFmtId="2" fontId="0" fillId="3" borderId="0" xfId="0" applyNumberFormat="1" applyFont="1" applyFill="1"/>
    <xf numFmtId="0" fontId="2" fillId="2" borderId="0" xfId="0" applyFont="1" applyFill="1" applyAlignment="1">
      <alignment horizontal="left"/>
    </xf>
    <xf numFmtId="0" fontId="8" fillId="2" borderId="0" xfId="0" applyFont="1" applyFill="1"/>
    <xf numFmtId="0" fontId="9" fillId="2" borderId="0" xfId="0" applyFont="1" applyFill="1" applyAlignment="1"/>
    <xf numFmtId="0" fontId="9" fillId="2" borderId="0" xfId="0" applyFont="1" applyFill="1"/>
    <xf numFmtId="9" fontId="0" fillId="3" borderId="0" xfId="0" applyNumberFormat="1" applyFill="1"/>
    <xf numFmtId="168" fontId="0" fillId="3" borderId="0" xfId="0" applyNumberFormat="1" applyFill="1"/>
    <xf numFmtId="0" fontId="2" fillId="2" borderId="0" xfId="0" applyFont="1" applyFill="1" applyAlignment="1">
      <alignment horizontal="right"/>
    </xf>
    <xf numFmtId="9" fontId="10" fillId="2" borderId="0" xfId="1" applyFont="1" applyFill="1"/>
    <xf numFmtId="169" fontId="0" fillId="2" borderId="0" xfId="0" applyNumberFormat="1" applyFill="1"/>
    <xf numFmtId="0" fontId="2" fillId="5" borderId="1" xfId="0" applyFont="1" applyFill="1" applyBorder="1"/>
    <xf numFmtId="0" fontId="2" fillId="5" borderId="1" xfId="0" applyFont="1" applyFill="1" applyBorder="1" applyAlignment="1">
      <alignment horizontal="right"/>
    </xf>
    <xf numFmtId="0" fontId="2" fillId="5" borderId="0" xfId="0" applyFont="1" applyFill="1" applyBorder="1" applyAlignment="1">
      <alignment horizontal="right"/>
    </xf>
    <xf numFmtId="3" fontId="2" fillId="5" borderId="1" xfId="0" applyNumberFormat="1" applyFont="1" applyFill="1" applyBorder="1"/>
    <xf numFmtId="3" fontId="7" fillId="5" borderId="1" xfId="0" applyNumberFormat="1" applyFont="1" applyFill="1" applyBorder="1"/>
    <xf numFmtId="0" fontId="2" fillId="2" borderId="3" xfId="0" applyFont="1" applyFill="1" applyBorder="1"/>
    <xf numFmtId="0" fontId="2" fillId="2" borderId="3" xfId="0" applyFont="1" applyFill="1" applyBorder="1" applyAlignment="1">
      <alignment horizontal="right"/>
    </xf>
    <xf numFmtId="0" fontId="0" fillId="2" borderId="3" xfId="0" applyFill="1" applyBorder="1"/>
    <xf numFmtId="0" fontId="2" fillId="5" borderId="3" xfId="0" applyFont="1" applyFill="1" applyBorder="1"/>
    <xf numFmtId="0" fontId="0" fillId="5" borderId="3" xfId="0" applyFill="1" applyBorder="1" applyAlignment="1">
      <alignment horizontal="right"/>
    </xf>
    <xf numFmtId="3" fontId="0" fillId="5" borderId="3" xfId="0" applyNumberFormat="1" applyFill="1" applyBorder="1"/>
    <xf numFmtId="3" fontId="6" fillId="5" borderId="3" xfId="0" applyNumberFormat="1" applyFont="1" applyFill="1" applyBorder="1"/>
    <xf numFmtId="0" fontId="0" fillId="2" borderId="3" xfId="0" applyFill="1" applyBorder="1" applyAlignment="1">
      <alignment horizontal="right"/>
    </xf>
    <xf numFmtId="3" fontId="0" fillId="2" borderId="3" xfId="0" applyNumberFormat="1" applyFill="1" applyBorder="1"/>
    <xf numFmtId="3" fontId="6" fillId="2" borderId="3" xfId="0" applyNumberFormat="1" applyFont="1" applyFill="1" applyBorder="1"/>
    <xf numFmtId="164" fontId="11" fillId="3" borderId="0" xfId="0" applyNumberFormat="1" applyFont="1" applyFill="1"/>
    <xf numFmtId="3" fontId="12" fillId="3" borderId="0" xfId="0" applyNumberFormat="1" applyFont="1" applyFill="1"/>
    <xf numFmtId="0" fontId="5" fillId="2" borderId="1" xfId="0" applyFont="1" applyFill="1" applyBorder="1" applyAlignment="1">
      <alignment horizontal="left" vertical="top" wrapText="1"/>
    </xf>
    <xf numFmtId="0" fontId="0" fillId="2" borderId="1" xfId="0" applyFill="1" applyBorder="1" applyAlignment="1">
      <alignment horizontal="left" vertical="top" wrapText="1"/>
    </xf>
    <xf numFmtId="0" fontId="3" fillId="2" borderId="0" xfId="0" applyFont="1" applyFill="1" applyAlignment="1">
      <alignment horizontal="left" vertical="top" wrapText="1"/>
    </xf>
    <xf numFmtId="4" fontId="6" fillId="2" borderId="1" xfId="0" applyNumberFormat="1" applyFont="1" applyFill="1" applyBorder="1"/>
    <xf numFmtId="170" fontId="0" fillId="3" borderId="0" xfId="0" applyNumberFormat="1" applyFill="1" applyBorder="1"/>
    <xf numFmtId="10" fontId="11" fillId="2" borderId="0" xfId="0" applyNumberFormat="1" applyFont="1" applyFill="1" applyBorder="1"/>
    <xf numFmtId="2" fontId="0" fillId="2" borderId="0" xfId="0" applyNumberFormat="1" applyFont="1" applyFill="1" applyBorder="1"/>
  </cellXfs>
  <cellStyles count="2">
    <cellStyle name="Normal" xfId="0" builtinId="0"/>
    <cellStyle name="Yüzd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L19"/>
  <sheetViews>
    <sheetView workbookViewId="0">
      <selection activeCell="F6" sqref="F6"/>
    </sheetView>
  </sheetViews>
  <sheetFormatPr defaultColWidth="11.44140625" defaultRowHeight="14.4" outlineLevelRow="1" x14ac:dyDescent="0.3"/>
  <cols>
    <col min="1" max="1" width="4.33203125" style="1" customWidth="1"/>
    <col min="2" max="2" width="11.44140625" style="1"/>
    <col min="3" max="4" width="15.109375" style="1" customWidth="1"/>
    <col min="5" max="5" width="7.33203125" style="1" customWidth="1"/>
    <col min="6" max="8" width="14.6640625" style="1" customWidth="1"/>
    <col min="9" max="16384" width="11.44140625" style="1"/>
  </cols>
  <sheetData>
    <row r="2" spans="2:12" ht="15.6" x14ac:dyDescent="0.3">
      <c r="B2" s="108" t="s">
        <v>39</v>
      </c>
      <c r="C2" s="108"/>
      <c r="D2" s="108"/>
      <c r="E2" s="108"/>
      <c r="F2" s="108"/>
      <c r="G2" s="108"/>
      <c r="H2" s="108"/>
    </row>
    <row r="3" spans="2:12" ht="46.5" customHeight="1" x14ac:dyDescent="0.3">
      <c r="B3" s="59" t="s">
        <v>40</v>
      </c>
      <c r="C3" s="51" t="s">
        <v>47</v>
      </c>
      <c r="D3" s="51" t="s">
        <v>48</v>
      </c>
      <c r="E3" s="61"/>
      <c r="F3" s="51" t="s">
        <v>41</v>
      </c>
      <c r="G3" s="51" t="s">
        <v>42</v>
      </c>
      <c r="H3" s="51" t="s">
        <v>43</v>
      </c>
      <c r="K3" s="50"/>
      <c r="L3" s="50"/>
    </row>
    <row r="4" spans="2:12" ht="15" customHeight="1" outlineLevel="1" x14ac:dyDescent="0.3">
      <c r="K4" s="50"/>
      <c r="L4" s="50"/>
    </row>
    <row r="5" spans="2:12" ht="15" customHeight="1" outlineLevel="1" x14ac:dyDescent="0.3">
      <c r="B5" s="28">
        <v>0</v>
      </c>
      <c r="C5" s="28">
        <v>520</v>
      </c>
      <c r="D5" s="28"/>
      <c r="E5" s="28"/>
      <c r="F5" s="17">
        <f>TL!C15</f>
        <v>0.10369151234626769</v>
      </c>
      <c r="G5" s="17">
        <f>TL!C14</f>
        <v>5.1868344347964834E-2</v>
      </c>
      <c r="H5" s="47">
        <f>TL!C16</f>
        <v>0.26760306534131978</v>
      </c>
      <c r="K5" s="50"/>
      <c r="L5" s="50"/>
    </row>
    <row r="6" spans="2:12" ht="15" customHeight="1" outlineLevel="1" x14ac:dyDescent="0.3">
      <c r="C6" s="28"/>
      <c r="D6" s="28"/>
      <c r="E6" s="28"/>
      <c r="F6" s="17"/>
      <c r="G6" s="17"/>
      <c r="H6" s="47"/>
      <c r="K6" s="50"/>
      <c r="L6" s="50"/>
    </row>
    <row r="7" spans="2:12" ht="15" customHeight="1" x14ac:dyDescent="0.3">
      <c r="B7" s="12" t="s">
        <v>45</v>
      </c>
      <c r="C7" s="34">
        <f>SUM(TL!O6:O10)</f>
        <v>4136.1650000000009</v>
      </c>
      <c r="D7" s="57">
        <f>C7*TL!$I$5/1000000</f>
        <v>49.633980000000008</v>
      </c>
      <c r="E7" s="34">
        <v>0</v>
      </c>
      <c r="F7" s="60">
        <f>IFERROR($F$5,"")</f>
        <v>0.10369151234626769</v>
      </c>
      <c r="G7" s="60">
        <f>IFERROR($G$5,"")</f>
        <v>5.1868344347964834E-2</v>
      </c>
      <c r="H7" s="58">
        <f>IFERROR($H$5,"")</f>
        <v>0.26760306534131978</v>
      </c>
      <c r="K7" s="50"/>
      <c r="L7" s="50"/>
    </row>
    <row r="8" spans="2:12" x14ac:dyDescent="0.3">
      <c r="B8" s="1">
        <v>1</v>
      </c>
      <c r="C8" s="28">
        <v>2100</v>
      </c>
      <c r="D8" s="38">
        <f>C8*TL!$I$5/1000000</f>
        <v>25.2</v>
      </c>
      <c r="E8" s="28">
        <v>1</v>
      </c>
      <c r="F8" s="17">
        <f t="dataTable" ref="F8:H17" dt2D="0" dtr="0" r1="B5"/>
        <v>0.10369151234626769</v>
      </c>
      <c r="G8" s="17">
        <v>5.1868344347964834E-2</v>
      </c>
      <c r="H8" s="8">
        <v>0.26760306534131978</v>
      </c>
    </row>
    <row r="9" spans="2:12" x14ac:dyDescent="0.3">
      <c r="B9" s="1">
        <v>2</v>
      </c>
      <c r="C9" s="28">
        <f>C8+50</f>
        <v>2150</v>
      </c>
      <c r="D9" s="38">
        <f>C9*TL!$I$5/1000000</f>
        <v>25.8</v>
      </c>
      <c r="E9" s="28">
        <v>2</v>
      </c>
      <c r="F9" s="17">
        <v>0.10369151234626769</v>
      </c>
      <c r="G9" s="17">
        <v>5.1868344347964834E-2</v>
      </c>
      <c r="H9" s="8">
        <v>0.26760306534131978</v>
      </c>
    </row>
    <row r="10" spans="2:12" x14ac:dyDescent="0.3">
      <c r="B10" s="1">
        <v>3</v>
      </c>
      <c r="C10" s="28">
        <f t="shared" ref="C10:C16" si="0">C9+50</f>
        <v>2200</v>
      </c>
      <c r="D10" s="38">
        <f>C10*TL!$I$5/1000000</f>
        <v>26.4</v>
      </c>
      <c r="E10" s="28">
        <v>3</v>
      </c>
      <c r="F10" s="17">
        <v>0.10369151234626769</v>
      </c>
      <c r="G10" s="17">
        <v>5.1868344347964834E-2</v>
      </c>
      <c r="H10" s="8">
        <v>0.26760306534131978</v>
      </c>
    </row>
    <row r="11" spans="2:12" x14ac:dyDescent="0.3">
      <c r="B11" s="1">
        <v>4</v>
      </c>
      <c r="C11" s="28">
        <f>C10+50</f>
        <v>2250</v>
      </c>
      <c r="D11" s="38">
        <f>C11*TL!$I$5/1000000</f>
        <v>27</v>
      </c>
      <c r="E11" s="28">
        <v>4</v>
      </c>
      <c r="F11" s="17">
        <v>0.10369151234626769</v>
      </c>
      <c r="G11" s="17">
        <v>5.1868344347964834E-2</v>
      </c>
      <c r="H11" s="8">
        <v>0.26760306534131978</v>
      </c>
    </row>
    <row r="12" spans="2:12" x14ac:dyDescent="0.3">
      <c r="B12" s="1">
        <v>5</v>
      </c>
      <c r="C12" s="28">
        <f t="shared" si="0"/>
        <v>2300</v>
      </c>
      <c r="D12" s="38">
        <f>C12*TL!$I$5/1000000</f>
        <v>27.6</v>
      </c>
      <c r="E12" s="28">
        <v>5</v>
      </c>
      <c r="F12" s="17">
        <v>0.10369151234626769</v>
      </c>
      <c r="G12" s="17">
        <v>5.1868344347964834E-2</v>
      </c>
      <c r="H12" s="8">
        <v>0.26760306534131978</v>
      </c>
    </row>
    <row r="13" spans="2:12" x14ac:dyDescent="0.3">
      <c r="B13" s="1">
        <v>6</v>
      </c>
      <c r="C13" s="28">
        <f t="shared" si="0"/>
        <v>2350</v>
      </c>
      <c r="D13" s="38">
        <f>C13*TL!$I$5/1000000</f>
        <v>28.2</v>
      </c>
      <c r="E13" s="28">
        <v>6</v>
      </c>
      <c r="F13" s="17">
        <v>0.10369151234626769</v>
      </c>
      <c r="G13" s="17">
        <v>5.1868344347964834E-2</v>
      </c>
      <c r="H13" s="8">
        <v>0.26760306534131978</v>
      </c>
    </row>
    <row r="14" spans="2:12" x14ac:dyDescent="0.3">
      <c r="B14" s="1">
        <v>7</v>
      </c>
      <c r="C14" s="28">
        <f t="shared" si="0"/>
        <v>2400</v>
      </c>
      <c r="D14" s="38">
        <f>C14*TL!$I$5/1000000</f>
        <v>28.8</v>
      </c>
      <c r="E14" s="28">
        <v>7</v>
      </c>
      <c r="F14" s="17">
        <v>0.10369151234626769</v>
      </c>
      <c r="G14" s="17">
        <v>5.1868344347964834E-2</v>
      </c>
      <c r="H14" s="8">
        <v>0.26760306534131978</v>
      </c>
    </row>
    <row r="15" spans="2:12" x14ac:dyDescent="0.3">
      <c r="B15" s="1">
        <v>8</v>
      </c>
      <c r="C15" s="28">
        <f t="shared" si="0"/>
        <v>2450</v>
      </c>
      <c r="D15" s="38">
        <f>C15*TL!$I$5/1000000</f>
        <v>29.4</v>
      </c>
      <c r="E15" s="28">
        <v>8</v>
      </c>
      <c r="F15" s="17">
        <v>0.10369151234626769</v>
      </c>
      <c r="G15" s="17">
        <v>5.1868344347964834E-2</v>
      </c>
      <c r="H15" s="8">
        <v>0.26760306534131978</v>
      </c>
    </row>
    <row r="16" spans="2:12" x14ac:dyDescent="0.3">
      <c r="B16" s="1">
        <v>9</v>
      </c>
      <c r="C16" s="28">
        <f t="shared" si="0"/>
        <v>2500</v>
      </c>
      <c r="D16" s="38">
        <f>C16*TL!$I$5/1000000</f>
        <v>30</v>
      </c>
      <c r="E16" s="28">
        <v>9</v>
      </c>
      <c r="F16" s="17">
        <v>0.10369151234626769</v>
      </c>
      <c r="G16" s="17">
        <v>5.1868344347964834E-2</v>
      </c>
      <c r="H16" s="8">
        <v>0.26760306534131978</v>
      </c>
    </row>
    <row r="17" spans="2:8" x14ac:dyDescent="0.3">
      <c r="B17" s="12">
        <v>10</v>
      </c>
      <c r="C17" s="34"/>
      <c r="D17" s="57">
        <f>C17*TL!$I$5/1000000</f>
        <v>0</v>
      </c>
      <c r="E17" s="12">
        <v>10</v>
      </c>
      <c r="F17" s="55">
        <v>0.10369151234626769</v>
      </c>
      <c r="G17" s="55">
        <v>5.1868344347964834E-2</v>
      </c>
      <c r="H17" s="56">
        <v>0.26760306534131978</v>
      </c>
    </row>
    <row r="19" spans="2:8" ht="28.8" x14ac:dyDescent="0.3">
      <c r="B19" s="52" t="s">
        <v>36</v>
      </c>
      <c r="C19" s="109" t="s">
        <v>37</v>
      </c>
      <c r="D19" s="109"/>
      <c r="E19" s="53"/>
      <c r="F19" s="52"/>
      <c r="G19" s="54" t="s">
        <v>38</v>
      </c>
      <c r="H19" s="52"/>
    </row>
  </sheetData>
  <mergeCells count="2">
    <mergeCell ref="B2:H2"/>
    <mergeCell ref="C19:D19"/>
  </mergeCell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  <pageSetUpPr fitToPage="1"/>
  </sheetPr>
  <dimension ref="B3:AP106"/>
  <sheetViews>
    <sheetView tabSelected="1" zoomScale="70" zoomScaleNormal="70" workbookViewId="0">
      <pane xSplit="4" ySplit="23" topLeftCell="F24" activePane="bottomRight" state="frozen"/>
      <selection pane="topRight" activeCell="E1" sqref="E1"/>
      <selection pane="bottomLeft" activeCell="A24" sqref="A24"/>
      <selection pane="bottomRight" activeCell="C12" sqref="C12"/>
    </sheetView>
  </sheetViews>
  <sheetFormatPr defaultColWidth="11.44140625" defaultRowHeight="14.4" outlineLevelRow="1" outlineLevelCol="1" x14ac:dyDescent="0.3"/>
  <cols>
    <col min="1" max="1" width="5.33203125" style="1" customWidth="1"/>
    <col min="2" max="2" width="39.33203125" style="1" bestFit="1" customWidth="1"/>
    <col min="3" max="3" width="17.33203125" style="1" bestFit="1" customWidth="1"/>
    <col min="4" max="4" width="11.44140625" style="1" collapsed="1"/>
    <col min="5" max="5" width="7.77734375" style="1" hidden="1" customWidth="1" outlineLevel="1"/>
    <col min="6" max="6" width="14.109375" style="1" customWidth="1"/>
    <col min="7" max="14" width="8.88671875" style="1" customWidth="1"/>
    <col min="15" max="16" width="8.6640625" style="1" customWidth="1"/>
    <col min="17" max="33" width="8.88671875" style="1" customWidth="1"/>
    <col min="34" max="34" width="12" style="1" customWidth="1"/>
    <col min="35" max="35" width="8.88671875" style="1" customWidth="1"/>
    <col min="36" max="36" width="5.44140625" style="1" customWidth="1"/>
    <col min="37" max="40" width="13.109375" style="1" customWidth="1"/>
    <col min="41" max="41" width="5.33203125" style="1" customWidth="1"/>
    <col min="42" max="42" width="17.109375" style="1" customWidth="1"/>
    <col min="43" max="16384" width="11.44140625" style="1"/>
  </cols>
  <sheetData>
    <row r="3" spans="2:42" x14ac:dyDescent="0.3">
      <c r="B3" s="11" t="s">
        <v>19</v>
      </c>
      <c r="C3" s="16" t="s">
        <v>114</v>
      </c>
      <c r="D3" s="13"/>
      <c r="E3" s="11"/>
      <c r="F3" s="11" t="s">
        <v>54</v>
      </c>
      <c r="G3" s="12"/>
      <c r="H3" s="12"/>
      <c r="I3" s="12"/>
      <c r="J3" s="12"/>
      <c r="L3" s="11" t="s">
        <v>57</v>
      </c>
      <c r="M3" s="12"/>
      <c r="N3" s="12"/>
      <c r="O3" s="12"/>
      <c r="P3" s="12"/>
      <c r="Q3" s="12"/>
      <c r="R3" s="12"/>
      <c r="T3" s="11" t="s">
        <v>64</v>
      </c>
      <c r="U3" s="11"/>
      <c r="V3" s="11"/>
      <c r="W3" s="11"/>
      <c r="X3" s="11"/>
      <c r="Y3" s="11"/>
      <c r="AA3" s="11" t="s">
        <v>74</v>
      </c>
      <c r="AB3" s="11"/>
      <c r="AC3" s="11"/>
      <c r="AD3" s="11"/>
      <c r="AE3" s="11"/>
      <c r="AF3" s="11"/>
      <c r="AH3" s="11" t="s">
        <v>27</v>
      </c>
      <c r="AI3" s="11"/>
      <c r="AK3" s="11" t="s">
        <v>88</v>
      </c>
      <c r="AL3" s="11"/>
      <c r="AM3" s="11"/>
      <c r="AN3" s="11"/>
    </row>
    <row r="4" spans="2:42" ht="13.8" customHeight="1" x14ac:dyDescent="0.3">
      <c r="E4" s="14"/>
      <c r="F4" s="14"/>
      <c r="G4" s="14"/>
      <c r="H4" s="14"/>
      <c r="I4" s="14"/>
      <c r="J4" s="14"/>
      <c r="L4" s="13"/>
      <c r="M4" s="14"/>
      <c r="N4" s="14"/>
      <c r="O4" s="14"/>
      <c r="P4" s="14"/>
      <c r="Q4" s="14"/>
      <c r="R4" s="14"/>
      <c r="T4" s="13"/>
      <c r="U4" s="13"/>
      <c r="V4" s="13"/>
      <c r="W4" s="13"/>
      <c r="X4" s="13"/>
      <c r="Y4" s="13"/>
      <c r="AA4" s="13"/>
      <c r="AB4" s="13"/>
      <c r="AC4" s="13"/>
      <c r="AD4" s="13"/>
      <c r="AE4" s="13"/>
      <c r="AF4" s="13"/>
    </row>
    <row r="5" spans="2:42" ht="15" customHeight="1" x14ac:dyDescent="0.3">
      <c r="B5" s="110" t="s">
        <v>97</v>
      </c>
      <c r="C5" s="110"/>
      <c r="D5" s="35"/>
      <c r="F5" s="10" t="s">
        <v>49</v>
      </c>
      <c r="I5" s="73">
        <v>12000</v>
      </c>
      <c r="J5" s="1" t="s">
        <v>46</v>
      </c>
      <c r="L5" s="10" t="s">
        <v>58</v>
      </c>
      <c r="O5" s="79">
        <f>SUM(O6:O10)</f>
        <v>4136.1650000000009</v>
      </c>
      <c r="P5" s="1" t="s">
        <v>115</v>
      </c>
      <c r="Q5" s="8">
        <f t="shared" ref="Q5:Q10" si="0">O5*$I$5/1000000</f>
        <v>49.633980000000008</v>
      </c>
      <c r="R5" s="1" t="s">
        <v>116</v>
      </c>
      <c r="T5" s="82" t="s">
        <v>65</v>
      </c>
      <c r="U5" s="10"/>
      <c r="W5" s="10" t="s">
        <v>117</v>
      </c>
      <c r="X5" s="10" t="s">
        <v>66</v>
      </c>
      <c r="Y5" s="88" t="s">
        <v>118</v>
      </c>
      <c r="AA5" s="10" t="s">
        <v>74</v>
      </c>
      <c r="AB5" s="10"/>
      <c r="AH5" s="84" t="s">
        <v>83</v>
      </c>
      <c r="AI5" s="74">
        <v>0.22</v>
      </c>
      <c r="AK5" s="10" t="s">
        <v>110</v>
      </c>
      <c r="AL5" s="10"/>
      <c r="AM5" s="19">
        <f>IFERROR(F40/(O5*I5/1000),0)</f>
        <v>5.1868344347964834E-2</v>
      </c>
    </row>
    <row r="6" spans="2:42" ht="15" customHeight="1" x14ac:dyDescent="0.3">
      <c r="B6" s="110"/>
      <c r="C6" s="110"/>
      <c r="D6" s="35"/>
      <c r="F6" s="10"/>
      <c r="I6" s="28"/>
      <c r="L6" s="10" t="s">
        <v>59</v>
      </c>
      <c r="O6" s="78">
        <f>423.5*8.39</f>
        <v>3553.1650000000004</v>
      </c>
      <c r="P6" s="1" t="s">
        <v>115</v>
      </c>
      <c r="Q6" s="8">
        <f t="shared" si="0"/>
        <v>42.637980000000006</v>
      </c>
      <c r="R6" s="1" t="s">
        <v>116</v>
      </c>
      <c r="T6" s="82" t="s">
        <v>67</v>
      </c>
      <c r="U6" s="10"/>
      <c r="W6" s="81">
        <v>0</v>
      </c>
      <c r="X6" s="3">
        <v>0.109</v>
      </c>
      <c r="Y6" s="45">
        <f t="shared" ref="Y6:Y13" si="1">$I$5/1000*W6</f>
        <v>0</v>
      </c>
      <c r="AA6" s="10" t="s">
        <v>111</v>
      </c>
      <c r="AB6" s="10"/>
      <c r="AD6" s="86">
        <v>0.8</v>
      </c>
      <c r="AE6" s="1" t="s">
        <v>25</v>
      </c>
      <c r="AH6" s="85" t="s">
        <v>84</v>
      </c>
      <c r="AI6" s="74">
        <v>0</v>
      </c>
      <c r="AK6" s="10" t="s">
        <v>13</v>
      </c>
      <c r="AL6" s="10"/>
      <c r="AM6" s="20">
        <f>IFERROR(SUM(F40:Y40)/(O5*I5/1000),0)</f>
        <v>3.0920790130515976</v>
      </c>
    </row>
    <row r="7" spans="2:42" ht="15" customHeight="1" x14ac:dyDescent="0.3">
      <c r="B7" s="110"/>
      <c r="C7" s="110"/>
      <c r="D7" s="35"/>
      <c r="F7" s="10" t="s">
        <v>50</v>
      </c>
      <c r="I7" s="107">
        <v>1450</v>
      </c>
      <c r="J7" s="1" t="s">
        <v>0</v>
      </c>
      <c r="L7" s="10" t="s">
        <v>60</v>
      </c>
      <c r="O7" s="76">
        <v>0</v>
      </c>
      <c r="P7" s="1" t="s">
        <v>115</v>
      </c>
      <c r="Q7" s="8">
        <f t="shared" si="0"/>
        <v>0</v>
      </c>
      <c r="R7" s="1" t="s">
        <v>116</v>
      </c>
      <c r="T7" s="82" t="s">
        <v>127</v>
      </c>
      <c r="U7" s="10"/>
      <c r="W7" s="75">
        <v>5</v>
      </c>
      <c r="X7" s="3">
        <v>0.109</v>
      </c>
      <c r="Y7" s="45">
        <f>$I$5/1000*W7</f>
        <v>60</v>
      </c>
      <c r="AA7" s="10" t="s">
        <v>75</v>
      </c>
      <c r="AB7" s="10"/>
      <c r="AD7" s="28">
        <f>$I$5/1000*O5-AD8</f>
        <v>9926.7960000000021</v>
      </c>
      <c r="AE7" s="1" t="s">
        <v>114</v>
      </c>
      <c r="AH7" s="83"/>
      <c r="AK7" s="9"/>
      <c r="AL7" s="9"/>
      <c r="AM7" s="9"/>
    </row>
    <row r="8" spans="2:42" x14ac:dyDescent="0.3">
      <c r="B8" s="110"/>
      <c r="C8" s="110"/>
      <c r="F8" s="10" t="s">
        <v>51</v>
      </c>
      <c r="I8" s="74">
        <v>1E-3</v>
      </c>
      <c r="J8" s="1" t="s">
        <v>11</v>
      </c>
      <c r="L8" s="10" t="s">
        <v>61</v>
      </c>
      <c r="O8" s="76">
        <v>583</v>
      </c>
      <c r="P8" s="1" t="s">
        <v>115</v>
      </c>
      <c r="Q8" s="8">
        <f t="shared" si="0"/>
        <v>6.9960000000000004</v>
      </c>
      <c r="R8" s="1" t="s">
        <v>116</v>
      </c>
      <c r="T8" s="82" t="s">
        <v>68</v>
      </c>
      <c r="U8" s="10"/>
      <c r="W8" s="75">
        <v>8</v>
      </c>
      <c r="X8" s="3">
        <v>0.109</v>
      </c>
      <c r="Y8" s="45">
        <f t="shared" si="1"/>
        <v>96</v>
      </c>
      <c r="AA8" s="10" t="s">
        <v>76</v>
      </c>
      <c r="AB8" s="10"/>
      <c r="AD8" s="28">
        <f>$I$5/1000*O5*AD6</f>
        <v>39707.184000000008</v>
      </c>
      <c r="AE8" s="1" t="s">
        <v>114</v>
      </c>
      <c r="AH8" s="10"/>
      <c r="AK8" s="1" t="s">
        <v>89</v>
      </c>
      <c r="AM8" s="39">
        <f>XIRR(E78:Y78,E23:Y23,10%)</f>
        <v>0.10786296725273131</v>
      </c>
    </row>
    <row r="9" spans="2:42" x14ac:dyDescent="0.3">
      <c r="B9" s="10" t="s">
        <v>98</v>
      </c>
      <c r="C9" s="46">
        <f>O5</f>
        <v>4136.1650000000009</v>
      </c>
      <c r="F9" s="10"/>
      <c r="L9" s="10" t="s">
        <v>129</v>
      </c>
      <c r="O9" s="73">
        <v>0</v>
      </c>
      <c r="P9" s="1" t="s">
        <v>115</v>
      </c>
      <c r="Q9" s="8">
        <f t="shared" si="0"/>
        <v>0</v>
      </c>
      <c r="R9" s="1" t="s">
        <v>116</v>
      </c>
      <c r="T9" s="82" t="s">
        <v>69</v>
      </c>
      <c r="U9" s="10"/>
      <c r="W9" s="75">
        <v>13.98</v>
      </c>
      <c r="X9" s="3">
        <v>0.109</v>
      </c>
      <c r="Y9" s="45">
        <f>$I$5/1000*W9</f>
        <v>167.76</v>
      </c>
      <c r="AA9" s="10" t="s">
        <v>77</v>
      </c>
      <c r="AB9" s="10"/>
      <c r="AD9" s="74">
        <v>0.16200000000000001</v>
      </c>
      <c r="AE9" s="1" t="s">
        <v>11</v>
      </c>
      <c r="AH9" s="10"/>
      <c r="AK9" s="1" t="s">
        <v>90</v>
      </c>
      <c r="AM9" s="39">
        <f>XIRR(E78:AD78,E23:AD23,10%)</f>
        <v>0.12876874804496763</v>
      </c>
    </row>
    <row r="10" spans="2:42" x14ac:dyDescent="0.3">
      <c r="B10" s="10" t="s">
        <v>99</v>
      </c>
      <c r="C10" s="90">
        <f>I5*O5/1000000</f>
        <v>49.633980000000008</v>
      </c>
      <c r="F10" s="10" t="s">
        <v>126</v>
      </c>
      <c r="I10" s="75">
        <v>0</v>
      </c>
      <c r="J10" s="1" t="s">
        <v>95</v>
      </c>
      <c r="L10" s="10" t="s">
        <v>62</v>
      </c>
      <c r="O10" s="72">
        <v>0</v>
      </c>
      <c r="P10" s="1" t="s">
        <v>115</v>
      </c>
      <c r="Q10" s="8">
        <f t="shared" si="0"/>
        <v>0</v>
      </c>
      <c r="R10" s="1" t="s">
        <v>116</v>
      </c>
      <c r="T10" s="13" t="s">
        <v>147</v>
      </c>
      <c r="U10" s="13"/>
      <c r="V10" s="14"/>
      <c r="W10" s="112">
        <v>3.209E-2</v>
      </c>
      <c r="X10" s="113">
        <v>7.0000000000000007E-2</v>
      </c>
      <c r="Y10" s="114">
        <f>($I$5/1000*$I$7*(100%-$I$8))*W10</f>
        <v>557.80763400000001</v>
      </c>
      <c r="AA10" s="10" t="s">
        <v>78</v>
      </c>
      <c r="AB10" s="10"/>
      <c r="AD10" s="87">
        <v>10</v>
      </c>
      <c r="AE10" s="1" t="s">
        <v>2</v>
      </c>
      <c r="AH10" s="10"/>
      <c r="AK10" s="1" t="s">
        <v>91</v>
      </c>
      <c r="AM10" s="39">
        <f>XIRR(E78:AI78,E23:AI23,10%)</f>
        <v>0.14058085083961486</v>
      </c>
    </row>
    <row r="11" spans="2:42" x14ac:dyDescent="0.3">
      <c r="B11" s="10" t="str">
        <f>AA7&amp;" ("&amp;TEXT(1-AD6,"# %")&amp;")"</f>
        <v>Öz Kaynak (20 %)</v>
      </c>
      <c r="C11" s="90">
        <f>AD7/1000</f>
        <v>9.9267960000000013</v>
      </c>
      <c r="F11" s="10" t="s">
        <v>52</v>
      </c>
      <c r="I11" s="76">
        <v>13</v>
      </c>
      <c r="J11" s="1" t="s">
        <v>2</v>
      </c>
      <c r="L11" s="10"/>
      <c r="O11" s="28"/>
      <c r="T11" s="10" t="s">
        <v>70</v>
      </c>
      <c r="U11" s="10"/>
      <c r="W11" s="75">
        <v>2</v>
      </c>
      <c r="X11" s="3">
        <v>0.109</v>
      </c>
      <c r="Y11" s="45">
        <f t="shared" si="1"/>
        <v>24</v>
      </c>
      <c r="AA11" s="10" t="s">
        <v>79</v>
      </c>
      <c r="AB11" s="10"/>
      <c r="AD11" s="87">
        <v>1</v>
      </c>
      <c r="AE11" s="1" t="s">
        <v>2</v>
      </c>
      <c r="AH11" s="10"/>
    </row>
    <row r="12" spans="2:42" x14ac:dyDescent="0.3">
      <c r="B12" s="10" t="str">
        <f>AA8&amp;" ("&amp;TEXT(AD6,"# %")&amp;")"</f>
        <v>Borç (80 %)</v>
      </c>
      <c r="C12" s="90">
        <f>AD8/1000</f>
        <v>39.707184000000005</v>
      </c>
      <c r="F12" s="10" t="s">
        <v>53</v>
      </c>
      <c r="I12" s="75">
        <v>20</v>
      </c>
      <c r="J12" s="1" t="s">
        <v>96</v>
      </c>
      <c r="L12" s="10" t="s">
        <v>63</v>
      </c>
      <c r="O12" s="77">
        <v>20</v>
      </c>
      <c r="P12" s="1" t="s">
        <v>2</v>
      </c>
      <c r="T12" s="10" t="s">
        <v>71</v>
      </c>
      <c r="U12" s="10"/>
      <c r="W12" s="75">
        <v>0</v>
      </c>
      <c r="X12" s="3">
        <v>0.109</v>
      </c>
      <c r="Y12" s="45">
        <f t="shared" si="1"/>
        <v>0</v>
      </c>
      <c r="AA12" s="10" t="s">
        <v>80</v>
      </c>
      <c r="AB12" s="10"/>
      <c r="AD12" s="28">
        <f>INT((25%*AD8/AD10)/25)*25</f>
        <v>975</v>
      </c>
      <c r="AE12" s="1" t="s">
        <v>55</v>
      </c>
      <c r="AH12" s="10"/>
      <c r="AK12" s="10" t="s">
        <v>92</v>
      </c>
      <c r="AL12" s="21"/>
      <c r="AM12" s="39">
        <f>XIRR(E80:Y80,E23:Y23,10%)</f>
        <v>0.10369151234626769</v>
      </c>
      <c r="AN12" s="32"/>
      <c r="AP12" s="3"/>
    </row>
    <row r="13" spans="2:42" x14ac:dyDescent="0.3">
      <c r="B13" s="10"/>
      <c r="C13" s="38"/>
      <c r="F13" s="10" t="s">
        <v>148</v>
      </c>
      <c r="I13" s="106">
        <v>0.1007</v>
      </c>
      <c r="J13" s="1" t="s">
        <v>11</v>
      </c>
      <c r="T13" s="10" t="s">
        <v>72</v>
      </c>
      <c r="U13" s="10"/>
      <c r="W13" s="75">
        <v>0</v>
      </c>
      <c r="X13" s="3">
        <v>0.109</v>
      </c>
      <c r="Y13" s="45">
        <f t="shared" si="1"/>
        <v>0</v>
      </c>
      <c r="AA13" s="10"/>
      <c r="AB13" s="10"/>
      <c r="AH13" s="10" t="s">
        <v>85</v>
      </c>
      <c r="AK13" s="1" t="s">
        <v>93</v>
      </c>
      <c r="AM13" s="39">
        <f>XIRR(E80:AD80,E23:AD23,10%)</f>
        <v>0.14366952776908876</v>
      </c>
      <c r="AN13" s="32"/>
      <c r="AP13" s="3"/>
    </row>
    <row r="14" spans="2:42" x14ac:dyDescent="0.3">
      <c r="B14" s="10" t="s">
        <v>112</v>
      </c>
      <c r="C14" s="32">
        <f>AM5</f>
        <v>5.1868344347964834E-2</v>
      </c>
      <c r="T14" s="10" t="s">
        <v>73</v>
      </c>
      <c r="U14" s="10"/>
      <c r="W14" s="8">
        <f>SUM(W6:W13)-W12</f>
        <v>29.012090000000001</v>
      </c>
      <c r="Y14" s="8">
        <f>SUM(Y6:Y13)-Y12</f>
        <v>905.567634</v>
      </c>
      <c r="AA14" s="10" t="s">
        <v>81</v>
      </c>
      <c r="AB14" s="10"/>
      <c r="AD14" s="6">
        <v>0</v>
      </c>
      <c r="AE14" s="1" t="s">
        <v>5</v>
      </c>
      <c r="AH14" s="10" t="s">
        <v>86</v>
      </c>
      <c r="AI14" s="80">
        <v>0</v>
      </c>
      <c r="AK14" s="1" t="s">
        <v>94</v>
      </c>
      <c r="AM14" s="39">
        <f>XIRR(E80:AI80,E23:AI23,10%)</f>
        <v>0.16101915240287784</v>
      </c>
      <c r="AN14" s="32"/>
      <c r="AP14" s="3"/>
    </row>
    <row r="15" spans="2:42" x14ac:dyDescent="0.3">
      <c r="B15" s="10" t="str">
        <f>AK12</f>
        <v>Öz Sermaye IKK (20y)</v>
      </c>
      <c r="C15" s="9">
        <f>AM12</f>
        <v>0.10369151234626769</v>
      </c>
      <c r="O15" s="8"/>
      <c r="Q15" s="8"/>
      <c r="AA15" s="10" t="s">
        <v>81</v>
      </c>
      <c r="AB15" s="10"/>
      <c r="AD15" s="28">
        <f>AD7*AD14</f>
        <v>0</v>
      </c>
      <c r="AE15" s="1" t="s">
        <v>55</v>
      </c>
      <c r="AH15" s="10"/>
    </row>
    <row r="16" spans="2:42" x14ac:dyDescent="0.3">
      <c r="B16" s="10" t="str">
        <f>AK16</f>
        <v>min. Borçlanma karşılama oranı (ADSCR)</v>
      </c>
      <c r="C16" s="49">
        <f>AM16</f>
        <v>0.26760306534131978</v>
      </c>
      <c r="AA16" s="10" t="s">
        <v>82</v>
      </c>
      <c r="AB16" s="10"/>
      <c r="AD16" s="3">
        <v>0</v>
      </c>
      <c r="AE16" s="1" t="s">
        <v>11</v>
      </c>
      <c r="AH16" s="10" t="s">
        <v>87</v>
      </c>
      <c r="AI16" s="76">
        <v>2022</v>
      </c>
      <c r="AK16" s="10" t="s">
        <v>128</v>
      </c>
      <c r="AL16" s="10"/>
      <c r="AM16" s="22">
        <f>MIN(F84:AI84)</f>
        <v>0.26760306534131978</v>
      </c>
    </row>
    <row r="17" spans="2:42" x14ac:dyDescent="0.3">
      <c r="B17" s="12"/>
      <c r="C17" s="12"/>
      <c r="D17" s="14"/>
      <c r="E17" s="12"/>
      <c r="F17" s="12"/>
      <c r="G17" s="12"/>
      <c r="H17" s="12"/>
      <c r="I17" s="12"/>
      <c r="J17" s="12"/>
      <c r="L17" s="12"/>
      <c r="M17" s="12"/>
      <c r="N17" s="12"/>
      <c r="O17" s="12"/>
      <c r="P17" s="12"/>
      <c r="Q17" s="12"/>
      <c r="R17" s="12"/>
      <c r="T17" s="12"/>
      <c r="U17" s="12"/>
      <c r="V17" s="12"/>
      <c r="W17" s="12"/>
      <c r="X17" s="12"/>
      <c r="Y17" s="12"/>
      <c r="AA17" s="12"/>
      <c r="AB17" s="12"/>
      <c r="AC17" s="12"/>
      <c r="AD17" s="12"/>
      <c r="AE17" s="12"/>
      <c r="AF17" s="12"/>
      <c r="AH17" s="12"/>
      <c r="AI17" s="12"/>
      <c r="AK17" s="12"/>
      <c r="AL17" s="12"/>
      <c r="AM17" s="12"/>
      <c r="AN17" s="12"/>
    </row>
    <row r="21" spans="2:42" ht="15" thickBot="1" x14ac:dyDescent="0.35">
      <c r="B21" s="98"/>
      <c r="C21" s="98"/>
      <c r="D21" s="98"/>
      <c r="E21" s="98"/>
      <c r="F21" s="98"/>
      <c r="G21" s="98"/>
      <c r="H21" s="98"/>
      <c r="I21" s="98"/>
      <c r="J21" s="98"/>
      <c r="K21" s="98"/>
      <c r="L21" s="98"/>
      <c r="M21" s="98"/>
      <c r="N21" s="98"/>
      <c r="O21" s="98"/>
      <c r="P21" s="98"/>
      <c r="Q21" s="98"/>
      <c r="R21" s="98"/>
      <c r="S21" s="98"/>
      <c r="T21" s="98"/>
      <c r="U21" s="98"/>
      <c r="V21" s="98"/>
      <c r="W21" s="98"/>
      <c r="X21" s="98"/>
      <c r="Y21" s="98"/>
      <c r="Z21" s="98"/>
      <c r="AA21" s="98"/>
      <c r="AB21" s="98"/>
      <c r="AC21" s="98"/>
      <c r="AD21" s="98"/>
      <c r="AE21" s="98"/>
      <c r="AF21" s="98"/>
      <c r="AG21" s="98"/>
      <c r="AH21" s="98"/>
      <c r="AI21" s="98"/>
    </row>
    <row r="22" spans="2:42" ht="16.5" customHeight="1" outlineLevel="1" thickTop="1" thickBot="1" x14ac:dyDescent="0.35">
      <c r="B22" s="96" t="s">
        <v>141</v>
      </c>
      <c r="C22" s="97" t="s">
        <v>142</v>
      </c>
      <c r="D22" s="97"/>
      <c r="E22" s="96">
        <v>0</v>
      </c>
      <c r="F22" s="96">
        <v>1</v>
      </c>
      <c r="G22" s="96">
        <v>2</v>
      </c>
      <c r="H22" s="96">
        <v>3</v>
      </c>
      <c r="I22" s="96">
        <v>4</v>
      </c>
      <c r="J22" s="96">
        <v>5</v>
      </c>
      <c r="K22" s="96">
        <v>6</v>
      </c>
      <c r="L22" s="96">
        <v>7</v>
      </c>
      <c r="M22" s="96">
        <v>8</v>
      </c>
      <c r="N22" s="96">
        <v>9</v>
      </c>
      <c r="O22" s="96">
        <v>10</v>
      </c>
      <c r="P22" s="96">
        <v>11</v>
      </c>
      <c r="Q22" s="96">
        <v>12</v>
      </c>
      <c r="R22" s="96">
        <v>13</v>
      </c>
      <c r="S22" s="96">
        <v>14</v>
      </c>
      <c r="T22" s="96">
        <v>15</v>
      </c>
      <c r="U22" s="96">
        <v>16</v>
      </c>
      <c r="V22" s="96">
        <v>17</v>
      </c>
      <c r="W22" s="96">
        <v>18</v>
      </c>
      <c r="X22" s="96">
        <v>19</v>
      </c>
      <c r="Y22" s="96">
        <v>20</v>
      </c>
      <c r="Z22" s="96">
        <v>21</v>
      </c>
      <c r="AA22" s="96">
        <v>22</v>
      </c>
      <c r="AB22" s="96">
        <v>23</v>
      </c>
      <c r="AC22" s="96">
        <v>24</v>
      </c>
      <c r="AD22" s="96">
        <v>25</v>
      </c>
      <c r="AE22" s="96">
        <v>26</v>
      </c>
      <c r="AF22" s="96">
        <v>27</v>
      </c>
      <c r="AG22" s="96">
        <v>28</v>
      </c>
      <c r="AH22" s="96">
        <v>29</v>
      </c>
      <c r="AI22" s="96">
        <v>30</v>
      </c>
      <c r="AJ22" s="14"/>
      <c r="AK22" s="14"/>
      <c r="AL22" s="40"/>
      <c r="AM22" s="40"/>
      <c r="AN22" s="40"/>
    </row>
    <row r="23" spans="2:42" ht="16.5" customHeight="1" thickTop="1" x14ac:dyDescent="0.3">
      <c r="B23" s="12" t="s">
        <v>100</v>
      </c>
      <c r="C23" s="15" t="s">
        <v>101</v>
      </c>
      <c r="D23" s="27"/>
      <c r="E23" s="41">
        <f>DATE($AI$16+E22-1,12,31)</f>
        <v>44561</v>
      </c>
      <c r="F23" s="41">
        <f t="shared" ref="F23:AI23" si="2">DATE($AI$16+F22-1,1,1)</f>
        <v>44562</v>
      </c>
      <c r="G23" s="41">
        <f t="shared" si="2"/>
        <v>44927</v>
      </c>
      <c r="H23" s="41">
        <f t="shared" si="2"/>
        <v>45292</v>
      </c>
      <c r="I23" s="41">
        <f t="shared" si="2"/>
        <v>45658</v>
      </c>
      <c r="J23" s="41">
        <f t="shared" si="2"/>
        <v>46023</v>
      </c>
      <c r="K23" s="41">
        <f t="shared" si="2"/>
        <v>46388</v>
      </c>
      <c r="L23" s="41">
        <f t="shared" si="2"/>
        <v>46753</v>
      </c>
      <c r="M23" s="41">
        <f t="shared" si="2"/>
        <v>47119</v>
      </c>
      <c r="N23" s="41">
        <f t="shared" si="2"/>
        <v>47484</v>
      </c>
      <c r="O23" s="41">
        <f t="shared" si="2"/>
        <v>47849</v>
      </c>
      <c r="P23" s="41">
        <f t="shared" si="2"/>
        <v>48214</v>
      </c>
      <c r="Q23" s="41">
        <f t="shared" si="2"/>
        <v>48580</v>
      </c>
      <c r="R23" s="41">
        <f t="shared" si="2"/>
        <v>48945</v>
      </c>
      <c r="S23" s="41">
        <f t="shared" si="2"/>
        <v>49310</v>
      </c>
      <c r="T23" s="41">
        <f t="shared" si="2"/>
        <v>49675</v>
      </c>
      <c r="U23" s="41">
        <f t="shared" si="2"/>
        <v>50041</v>
      </c>
      <c r="V23" s="41">
        <f t="shared" si="2"/>
        <v>50406</v>
      </c>
      <c r="W23" s="41">
        <f t="shared" si="2"/>
        <v>50771</v>
      </c>
      <c r="X23" s="41">
        <f t="shared" si="2"/>
        <v>51136</v>
      </c>
      <c r="Y23" s="41">
        <f t="shared" si="2"/>
        <v>51502</v>
      </c>
      <c r="Z23" s="62">
        <f t="shared" si="2"/>
        <v>51867</v>
      </c>
      <c r="AA23" s="62">
        <f t="shared" si="2"/>
        <v>52232</v>
      </c>
      <c r="AB23" s="62">
        <f t="shared" si="2"/>
        <v>52597</v>
      </c>
      <c r="AC23" s="62">
        <f t="shared" si="2"/>
        <v>52963</v>
      </c>
      <c r="AD23" s="62">
        <f t="shared" si="2"/>
        <v>53328</v>
      </c>
      <c r="AE23" s="62">
        <f t="shared" si="2"/>
        <v>53693</v>
      </c>
      <c r="AF23" s="62">
        <f t="shared" si="2"/>
        <v>54058</v>
      </c>
      <c r="AG23" s="62">
        <f t="shared" si="2"/>
        <v>54424</v>
      </c>
      <c r="AH23" s="62">
        <f t="shared" si="2"/>
        <v>54789</v>
      </c>
      <c r="AI23" s="62">
        <f t="shared" si="2"/>
        <v>55154</v>
      </c>
      <c r="AJ23" s="14"/>
      <c r="AK23" s="14" t="s">
        <v>14</v>
      </c>
      <c r="AL23" s="40" t="s">
        <v>15</v>
      </c>
      <c r="AM23" s="40" t="s">
        <v>16</v>
      </c>
      <c r="AN23" s="69" t="s">
        <v>17</v>
      </c>
    </row>
    <row r="24" spans="2:42" x14ac:dyDescent="0.3">
      <c r="C24" s="2"/>
      <c r="D24" s="2"/>
      <c r="Z24" s="63"/>
      <c r="AA24" s="63"/>
      <c r="AB24" s="63"/>
      <c r="AC24" s="63"/>
      <c r="AD24" s="63"/>
      <c r="AE24" s="63"/>
      <c r="AF24" s="63"/>
      <c r="AG24" s="63"/>
      <c r="AH24" s="63"/>
      <c r="AI24" s="63"/>
      <c r="AN24" s="63"/>
    </row>
    <row r="25" spans="2:42" x14ac:dyDescent="0.3">
      <c r="B25" s="1" t="s">
        <v>138</v>
      </c>
      <c r="C25" s="2" t="s">
        <v>26</v>
      </c>
      <c r="D25" s="2"/>
      <c r="E25" s="28"/>
      <c r="F25" s="28">
        <f>$I$5/1000*$I$7*(100%-$I$8)^(F22-1)</f>
        <v>17400</v>
      </c>
      <c r="G25" s="28">
        <f t="shared" ref="G25:W25" si="3">$I$5/1000*$I$7*(100%-$I$8)^(G22-1)</f>
        <v>17382.599999999999</v>
      </c>
      <c r="H25" s="28">
        <f t="shared" si="3"/>
        <v>17365.217400000001</v>
      </c>
      <c r="I25" s="28">
        <f t="shared" si="3"/>
        <v>17347.8521826</v>
      </c>
      <c r="J25" s="28">
        <f t="shared" si="3"/>
        <v>17330.5043304174</v>
      </c>
      <c r="K25" s="28">
        <f t="shared" si="3"/>
        <v>17313.173826086982</v>
      </c>
      <c r="L25" s="28">
        <f t="shared" si="3"/>
        <v>17295.860652260897</v>
      </c>
      <c r="M25" s="28">
        <f t="shared" si="3"/>
        <v>17278.564791608635</v>
      </c>
      <c r="N25" s="28">
        <f t="shared" si="3"/>
        <v>17261.286226817028</v>
      </c>
      <c r="O25" s="28">
        <f t="shared" si="3"/>
        <v>17244.02494059021</v>
      </c>
      <c r="P25" s="28">
        <f t="shared" si="3"/>
        <v>17226.780915649622</v>
      </c>
      <c r="Q25" s="28">
        <f t="shared" si="3"/>
        <v>17209.554134733971</v>
      </c>
      <c r="R25" s="28">
        <f t="shared" si="3"/>
        <v>17192.344580599238</v>
      </c>
      <c r="S25" s="28">
        <f t="shared" si="3"/>
        <v>17175.152236018635</v>
      </c>
      <c r="T25" s="28">
        <f t="shared" si="3"/>
        <v>17157.977083782618</v>
      </c>
      <c r="U25" s="28">
        <f t="shared" si="3"/>
        <v>17140.819106698837</v>
      </c>
      <c r="V25" s="28">
        <f t="shared" si="3"/>
        <v>17123.678287592138</v>
      </c>
      <c r="W25" s="28">
        <f t="shared" si="3"/>
        <v>17106.554609304545</v>
      </c>
      <c r="X25" s="28">
        <f t="shared" ref="X25:AI25" si="4">$I$5/1000*$I$7*(100%-$I$8)^(X22-1)</f>
        <v>17089.448054695244</v>
      </c>
      <c r="Y25" s="28">
        <f t="shared" si="4"/>
        <v>17072.358606640548</v>
      </c>
      <c r="Z25" s="64">
        <f t="shared" si="4"/>
        <v>17055.286248033906</v>
      </c>
      <c r="AA25" s="64">
        <f t="shared" si="4"/>
        <v>17038.230961785874</v>
      </c>
      <c r="AB25" s="64">
        <f t="shared" si="4"/>
        <v>17021.192730824088</v>
      </c>
      <c r="AC25" s="64">
        <f t="shared" si="4"/>
        <v>17004.171538093262</v>
      </c>
      <c r="AD25" s="64">
        <f t="shared" si="4"/>
        <v>16987.167366555172</v>
      </c>
      <c r="AE25" s="64">
        <f t="shared" si="4"/>
        <v>16970.180199188617</v>
      </c>
      <c r="AF25" s="64">
        <f t="shared" si="4"/>
        <v>16953.210018989426</v>
      </c>
      <c r="AG25" s="64">
        <f t="shared" si="4"/>
        <v>16936.256808970436</v>
      </c>
      <c r="AH25" s="64">
        <f t="shared" si="4"/>
        <v>16919.320552161465</v>
      </c>
      <c r="AI25" s="64">
        <f t="shared" si="4"/>
        <v>16902.401231609303</v>
      </c>
      <c r="AK25" s="4"/>
      <c r="AL25" s="4"/>
      <c r="AM25" s="4"/>
      <c r="AN25" s="70"/>
    </row>
    <row r="26" spans="2:42" x14ac:dyDescent="0.3">
      <c r="B26" s="1" t="s">
        <v>103</v>
      </c>
      <c r="C26" s="2" t="s">
        <v>102</v>
      </c>
      <c r="D26" s="2"/>
      <c r="E26" s="38"/>
      <c r="F26" s="38">
        <f>IF(F22&lt;=$I$11,$I$10,0)</f>
        <v>0</v>
      </c>
      <c r="G26" s="38">
        <f t="shared" ref="G26:AI26" si="5">IF(G22&lt;=$I$11,$I$10,0)</f>
        <v>0</v>
      </c>
      <c r="H26" s="38">
        <f t="shared" si="5"/>
        <v>0</v>
      </c>
      <c r="I26" s="38">
        <f t="shared" si="5"/>
        <v>0</v>
      </c>
      <c r="J26" s="38">
        <f t="shared" si="5"/>
        <v>0</v>
      </c>
      <c r="K26" s="38">
        <f t="shared" si="5"/>
        <v>0</v>
      </c>
      <c r="L26" s="38">
        <f t="shared" si="5"/>
        <v>0</v>
      </c>
      <c r="M26" s="38">
        <f t="shared" si="5"/>
        <v>0</v>
      </c>
      <c r="N26" s="38">
        <f t="shared" si="5"/>
        <v>0</v>
      </c>
      <c r="O26" s="38">
        <f t="shared" si="5"/>
        <v>0</v>
      </c>
      <c r="P26" s="38">
        <f t="shared" si="5"/>
        <v>0</v>
      </c>
      <c r="Q26" s="38">
        <f t="shared" si="5"/>
        <v>0</v>
      </c>
      <c r="R26" s="38">
        <f t="shared" si="5"/>
        <v>0</v>
      </c>
      <c r="S26" s="38">
        <f t="shared" si="5"/>
        <v>0</v>
      </c>
      <c r="T26" s="38">
        <f t="shared" si="5"/>
        <v>0</v>
      </c>
      <c r="U26" s="38">
        <f t="shared" si="5"/>
        <v>0</v>
      </c>
      <c r="V26" s="38">
        <f t="shared" si="5"/>
        <v>0</v>
      </c>
      <c r="W26" s="38">
        <f t="shared" si="5"/>
        <v>0</v>
      </c>
      <c r="X26" s="38">
        <f t="shared" si="5"/>
        <v>0</v>
      </c>
      <c r="Y26" s="38">
        <f t="shared" si="5"/>
        <v>0</v>
      </c>
      <c r="Z26" s="65">
        <f t="shared" si="5"/>
        <v>0</v>
      </c>
      <c r="AA26" s="65">
        <f t="shared" si="5"/>
        <v>0</v>
      </c>
      <c r="AB26" s="65">
        <f t="shared" si="5"/>
        <v>0</v>
      </c>
      <c r="AC26" s="65">
        <f t="shared" si="5"/>
        <v>0</v>
      </c>
      <c r="AD26" s="65">
        <f t="shared" si="5"/>
        <v>0</v>
      </c>
      <c r="AE26" s="65">
        <f t="shared" si="5"/>
        <v>0</v>
      </c>
      <c r="AF26" s="65">
        <f t="shared" si="5"/>
        <v>0</v>
      </c>
      <c r="AG26" s="65">
        <f t="shared" si="5"/>
        <v>0</v>
      </c>
      <c r="AH26" s="65">
        <f t="shared" si="5"/>
        <v>0</v>
      </c>
      <c r="AI26" s="65">
        <f t="shared" si="5"/>
        <v>0</v>
      </c>
      <c r="AK26" s="4"/>
      <c r="AL26" s="4"/>
      <c r="AM26" s="4"/>
      <c r="AN26" s="70"/>
    </row>
    <row r="27" spans="2:42" x14ac:dyDescent="0.3">
      <c r="B27" s="12" t="s">
        <v>104</v>
      </c>
      <c r="C27" s="15" t="s">
        <v>102</v>
      </c>
      <c r="D27" s="2"/>
      <c r="E27" s="38"/>
      <c r="F27" s="57">
        <f>$I12*(100%+$I13)^(F$22-1)</f>
        <v>20</v>
      </c>
      <c r="G27" s="57">
        <f t="shared" ref="G27:AI27" si="6">$I12*(100%+$I13)^(G$22-1)</f>
        <v>22.013999999999999</v>
      </c>
      <c r="H27" s="57">
        <f t="shared" si="6"/>
        <v>24.230809799999999</v>
      </c>
      <c r="I27" s="57">
        <f t="shared" si="6"/>
        <v>26.670852346860002</v>
      </c>
      <c r="J27" s="57">
        <f t="shared" si="6"/>
        <v>29.356607178188803</v>
      </c>
      <c r="K27" s="57">
        <f>$I12*(100%+$I13)^(K$22-1)</f>
        <v>32.312817521032414</v>
      </c>
      <c r="L27" s="57">
        <f t="shared" si="6"/>
        <v>35.566718245400381</v>
      </c>
      <c r="M27" s="57">
        <f t="shared" si="6"/>
        <v>39.148286772712197</v>
      </c>
      <c r="N27" s="57">
        <f t="shared" si="6"/>
        <v>43.090519250724313</v>
      </c>
      <c r="O27" s="57">
        <f t="shared" si="6"/>
        <v>47.429734539272246</v>
      </c>
      <c r="P27" s="57">
        <f t="shared" si="6"/>
        <v>52.205908807376964</v>
      </c>
      <c r="Q27" s="57">
        <f t="shared" si="6"/>
        <v>57.463043824279829</v>
      </c>
      <c r="R27" s="57">
        <f t="shared" si="6"/>
        <v>63.249572337384805</v>
      </c>
      <c r="S27" s="57">
        <f t="shared" si="6"/>
        <v>69.618804271759458</v>
      </c>
      <c r="T27" s="57">
        <f t="shared" si="6"/>
        <v>76.629417861925631</v>
      </c>
      <c r="U27" s="57">
        <f t="shared" si="6"/>
        <v>84.346000240621549</v>
      </c>
      <c r="V27" s="57">
        <f t="shared" si="6"/>
        <v>92.839642464852133</v>
      </c>
      <c r="W27" s="57">
        <f t="shared" si="6"/>
        <v>102.18859446106276</v>
      </c>
      <c r="X27" s="57">
        <f t="shared" si="6"/>
        <v>112.47898592329177</v>
      </c>
      <c r="Y27" s="57">
        <f t="shared" si="6"/>
        <v>123.80561980576726</v>
      </c>
      <c r="Z27" s="111">
        <f>$I12*(100%+$I13)^(Z$22-1)</f>
        <v>136.27284572020801</v>
      </c>
      <c r="AA27" s="111">
        <f t="shared" si="6"/>
        <v>149.99552128423295</v>
      </c>
      <c r="AB27" s="111">
        <f t="shared" si="6"/>
        <v>165.1000702775552</v>
      </c>
      <c r="AC27" s="111">
        <f t="shared" si="6"/>
        <v>181.72564735450504</v>
      </c>
      <c r="AD27" s="111">
        <f t="shared" si="6"/>
        <v>200.02542004310368</v>
      </c>
      <c r="AE27" s="111">
        <f t="shared" si="6"/>
        <v>220.16797984144418</v>
      </c>
      <c r="AF27" s="111">
        <f t="shared" si="6"/>
        <v>242.33889541147764</v>
      </c>
      <c r="AG27" s="111">
        <f t="shared" si="6"/>
        <v>266.74242217941344</v>
      </c>
      <c r="AH27" s="111">
        <f t="shared" si="6"/>
        <v>293.60338409288039</v>
      </c>
      <c r="AI27" s="111">
        <f t="shared" si="6"/>
        <v>323.16924487103341</v>
      </c>
      <c r="AK27" s="4"/>
      <c r="AL27" s="4"/>
      <c r="AM27" s="4"/>
      <c r="AN27" s="70"/>
    </row>
    <row r="28" spans="2:42" s="10" customFormat="1" x14ac:dyDescent="0.3">
      <c r="B28" s="91" t="s">
        <v>105</v>
      </c>
      <c r="C28" s="92" t="s">
        <v>114</v>
      </c>
      <c r="D28" s="93"/>
      <c r="E28" s="94"/>
      <c r="F28" s="94">
        <f>F25*(F26+F27)/100</f>
        <v>3480</v>
      </c>
      <c r="G28" s="94">
        <f t="shared" ref="G28:AI28" si="7">G25*(G26+G27)/100</f>
        <v>3826.6055639999995</v>
      </c>
      <c r="H28" s="94">
        <f t="shared" si="7"/>
        <v>4207.7327995505057</v>
      </c>
      <c r="I28" s="94">
        <f t="shared" si="7"/>
        <v>4626.820040972776</v>
      </c>
      <c r="J28" s="94">
        <f t="shared" si="7"/>
        <v>5087.6480782796352</v>
      </c>
      <c r="K28" s="94">
        <f t="shared" si="7"/>
        <v>5594.3742655226324</v>
      </c>
      <c r="L28" s="94">
        <f t="shared" si="7"/>
        <v>6151.5700263067019</v>
      </c>
      <c r="M28" s="94">
        <f t="shared" si="7"/>
        <v>6764.26209482783</v>
      </c>
      <c r="N28" s="94">
        <f t="shared" si="7"/>
        <v>7437.9778644892158</v>
      </c>
      <c r="O28" s="94">
        <f t="shared" si="7"/>
        <v>8178.7952532078361</v>
      </c>
      <c r="P28" s="94">
        <f t="shared" si="7"/>
        <v>8993.3975352706602</v>
      </c>
      <c r="Q28" s="94">
        <f t="shared" si="7"/>
        <v>9889.1336344053434</v>
      </c>
      <c r="R28" s="94">
        <f t="shared" si="7"/>
        <v>10874.084421998572</v>
      </c>
      <c r="S28" s="94">
        <f t="shared" si="7"/>
        <v>11957.13561857053</v>
      </c>
      <c r="T28" s="94">
        <f t="shared" si="7"/>
        <v>13148.057956185225</v>
      </c>
      <c r="U28" s="94">
        <f t="shared" si="7"/>
        <v>14457.595324980704</v>
      </c>
      <c r="V28" s="94">
        <f t="shared" si="7"/>
        <v>15897.561699032054</v>
      </c>
      <c r="W28" s="94">
        <f t="shared" si="7"/>
        <v>17480.947715962462</v>
      </c>
      <c r="X28" s="94">
        <f t="shared" si="7"/>
        <v>19222.037871808923</v>
      </c>
      <c r="Y28" s="94">
        <f t="shared" si="7"/>
        <v>21136.539388414585</v>
      </c>
      <c r="Z28" s="95">
        <f>Z25*(Z26+Z27)/100</f>
        <v>23241.723915923099</v>
      </c>
      <c r="AA28" s="95">
        <f t="shared" si="7"/>
        <v>25556.583348742301</v>
      </c>
      <c r="AB28" s="95">
        <f t="shared" si="7"/>
        <v>28102.001160668689</v>
      </c>
      <c r="AC28" s="95">
        <f t="shared" si="7"/>
        <v>30900.940804870479</v>
      </c>
      <c r="AD28" s="95">
        <f t="shared" si="7"/>
        <v>33978.652878377012</v>
      </c>
      <c r="AE28" s="95">
        <f t="shared" si="7"/>
        <v>37362.902920006345</v>
      </c>
      <c r="AF28" s="95">
        <f t="shared" si="7"/>
        <v>41084.221896806936</v>
      </c>
      <c r="AG28" s="95">
        <f t="shared" si="7"/>
        <v>45176.181638773574</v>
      </c>
      <c r="AH28" s="95">
        <f t="shared" si="7"/>
        <v>49675.697706668274</v>
      </c>
      <c r="AI28" s="95">
        <f t="shared" si="7"/>
        <v>54623.362425264037</v>
      </c>
      <c r="AK28" s="25">
        <f>IFERROR(F28/$F$28,"")</f>
        <v>1</v>
      </c>
      <c r="AL28" s="23">
        <f>IFERROR(ABS(F28/($F$37+$F$46+$F$57+$F$66)),"")</f>
        <v>0.48106629133048495</v>
      </c>
      <c r="AM28" s="29">
        <f>SUM(F28:Y28)</f>
        <v>198412.27715378618</v>
      </c>
      <c r="AN28" s="66">
        <f>SUM(F28:AI28)</f>
        <v>568114.54584988696</v>
      </c>
    </row>
    <row r="29" spans="2:42" x14ac:dyDescent="0.3">
      <c r="C29" s="2"/>
      <c r="D29" s="2"/>
      <c r="E29" s="28"/>
      <c r="F29" s="28"/>
      <c r="G29" s="28"/>
      <c r="H29" s="28"/>
      <c r="I29" s="28"/>
      <c r="J29" s="28"/>
      <c r="K29" s="28"/>
      <c r="M29" s="28"/>
      <c r="N29" s="38"/>
      <c r="O29" s="28"/>
      <c r="P29" s="28"/>
      <c r="Q29" s="28"/>
      <c r="R29" s="28"/>
      <c r="S29" s="28"/>
      <c r="T29" s="28"/>
      <c r="U29" s="28"/>
      <c r="V29" s="28"/>
      <c r="W29" s="28"/>
      <c r="X29" s="28"/>
      <c r="Y29" s="28"/>
      <c r="Z29" s="64"/>
      <c r="AA29" s="64"/>
      <c r="AB29" s="64"/>
      <c r="AC29" s="64"/>
      <c r="AD29" s="64"/>
      <c r="AE29" s="64"/>
      <c r="AF29" s="64"/>
      <c r="AG29" s="64"/>
      <c r="AH29" s="64"/>
      <c r="AI29" s="64"/>
      <c r="AK29" s="4"/>
      <c r="AL29" s="7"/>
      <c r="AM29" s="28"/>
      <c r="AN29" s="64"/>
    </row>
    <row r="30" spans="2:42" x14ac:dyDescent="0.3">
      <c r="B30" s="5" t="s">
        <v>67</v>
      </c>
      <c r="C30" s="2" t="s">
        <v>114</v>
      </c>
      <c r="D30" s="2"/>
      <c r="E30" s="31"/>
      <c r="F30" s="31">
        <f t="shared" ref="F30:Y30" si="8">-$I$5/1000*$W6*(100%+$X6)^(F$22-1)</f>
        <v>0</v>
      </c>
      <c r="G30" s="31">
        <f t="shared" si="8"/>
        <v>0</v>
      </c>
      <c r="H30" s="31">
        <f t="shared" si="8"/>
        <v>0</v>
      </c>
      <c r="I30" s="31">
        <f t="shared" si="8"/>
        <v>0</v>
      </c>
      <c r="J30" s="31">
        <f t="shared" si="8"/>
        <v>0</v>
      </c>
      <c r="K30" s="31">
        <f t="shared" si="8"/>
        <v>0</v>
      </c>
      <c r="L30" s="31">
        <f t="shared" si="8"/>
        <v>0</v>
      </c>
      <c r="M30" s="31">
        <f t="shared" si="8"/>
        <v>0</v>
      </c>
      <c r="N30" s="31">
        <f t="shared" si="8"/>
        <v>0</v>
      </c>
      <c r="O30" s="31">
        <f t="shared" si="8"/>
        <v>0</v>
      </c>
      <c r="P30" s="31">
        <f t="shared" si="8"/>
        <v>0</v>
      </c>
      <c r="Q30" s="31">
        <f t="shared" si="8"/>
        <v>0</v>
      </c>
      <c r="R30" s="31">
        <f t="shared" si="8"/>
        <v>0</v>
      </c>
      <c r="S30" s="31">
        <f t="shared" si="8"/>
        <v>0</v>
      </c>
      <c r="T30" s="31">
        <f t="shared" si="8"/>
        <v>0</v>
      </c>
      <c r="U30" s="31">
        <f t="shared" si="8"/>
        <v>0</v>
      </c>
      <c r="V30" s="31">
        <f t="shared" si="8"/>
        <v>0</v>
      </c>
      <c r="W30" s="31">
        <f t="shared" si="8"/>
        <v>0</v>
      </c>
      <c r="X30" s="31">
        <f t="shared" si="8"/>
        <v>0</v>
      </c>
      <c r="Y30" s="31">
        <f t="shared" si="8"/>
        <v>0</v>
      </c>
      <c r="Z30" s="67">
        <f t="shared" ref="Z30:AI30" si="9">-$I$5/1000*($O7/20)*(100%+$X6)^(Z$22-1)</f>
        <v>0</v>
      </c>
      <c r="AA30" s="67">
        <f t="shared" si="9"/>
        <v>0</v>
      </c>
      <c r="AB30" s="67">
        <f t="shared" si="9"/>
        <v>0</v>
      </c>
      <c r="AC30" s="67">
        <f t="shared" si="9"/>
        <v>0</v>
      </c>
      <c r="AD30" s="67">
        <f t="shared" si="9"/>
        <v>0</v>
      </c>
      <c r="AE30" s="67">
        <f t="shared" si="9"/>
        <v>0</v>
      </c>
      <c r="AF30" s="67">
        <f t="shared" si="9"/>
        <v>0</v>
      </c>
      <c r="AG30" s="67">
        <f t="shared" si="9"/>
        <v>0</v>
      </c>
      <c r="AH30" s="67">
        <f t="shared" si="9"/>
        <v>0</v>
      </c>
      <c r="AI30" s="67">
        <f t="shared" si="9"/>
        <v>0</v>
      </c>
      <c r="AK30" s="17">
        <f t="shared" ref="AK30:AK37" si="10">IFERROR(F30/$F$28,"")</f>
        <v>0</v>
      </c>
      <c r="AL30" s="7">
        <f t="shared" ref="AL30:AL37" si="11">IFERROR(ABS(F30/($F$37+$F$46+$F$57+$F$66)),"")</f>
        <v>0</v>
      </c>
      <c r="AM30" s="31">
        <f t="shared" ref="AM30:AM37" si="12">SUM(F30:Y30)</f>
        <v>0</v>
      </c>
      <c r="AN30" s="67">
        <f t="shared" ref="AN30:AN37" si="13">SUM(F30:AI30)</f>
        <v>0</v>
      </c>
      <c r="AP30" s="10"/>
    </row>
    <row r="31" spans="2:42" x14ac:dyDescent="0.3">
      <c r="B31" s="5" t="s">
        <v>127</v>
      </c>
      <c r="C31" s="2" t="s">
        <v>114</v>
      </c>
      <c r="D31" s="2"/>
      <c r="E31" s="31"/>
      <c r="F31" s="31">
        <f>-$I$5/1000*$W7*(100%+$X7)^(F$22-1)</f>
        <v>-60</v>
      </c>
      <c r="G31" s="31">
        <f t="shared" ref="G31:Y31" si="14">-$I$5/1000*$W7*(100%+$X7)^(G$22-1)</f>
        <v>-66.539999999999992</v>
      </c>
      <c r="H31" s="31">
        <f t="shared" si="14"/>
        <v>-73.792860000000005</v>
      </c>
      <c r="I31" s="31">
        <f t="shared" si="14"/>
        <v>-81.836281740000004</v>
      </c>
      <c r="J31" s="31">
        <f t="shared" si="14"/>
        <v>-90.756436449660001</v>
      </c>
      <c r="K31" s="31">
        <f t="shared" si="14"/>
        <v>-100.64888802267293</v>
      </c>
      <c r="L31" s="31">
        <f t="shared" si="14"/>
        <v>-111.61961681714429</v>
      </c>
      <c r="M31" s="31">
        <f t="shared" si="14"/>
        <v>-123.78615505021301</v>
      </c>
      <c r="N31" s="31">
        <f t="shared" si="14"/>
        <v>-137.27884595068622</v>
      </c>
      <c r="O31" s="31">
        <f t="shared" si="14"/>
        <v>-152.24224015931102</v>
      </c>
      <c r="P31" s="31">
        <f t="shared" si="14"/>
        <v>-168.8366443366759</v>
      </c>
      <c r="Q31" s="31">
        <f t="shared" si="14"/>
        <v>-187.2398385693736</v>
      </c>
      <c r="R31" s="31">
        <f t="shared" si="14"/>
        <v>-207.6489809734353</v>
      </c>
      <c r="S31" s="31">
        <f t="shared" si="14"/>
        <v>-230.28271989953976</v>
      </c>
      <c r="T31" s="31">
        <f t="shared" si="14"/>
        <v>-255.38353636858963</v>
      </c>
      <c r="U31" s="31">
        <f t="shared" si="14"/>
        <v>-283.22034183276583</v>
      </c>
      <c r="V31" s="31">
        <f t="shared" si="14"/>
        <v>-314.09135909253735</v>
      </c>
      <c r="W31" s="31">
        <f t="shared" si="14"/>
        <v>-348.32731723362394</v>
      </c>
      <c r="X31" s="31">
        <f t="shared" si="14"/>
        <v>-386.29499481208893</v>
      </c>
      <c r="Y31" s="31">
        <f t="shared" si="14"/>
        <v>-428.40114924660662</v>
      </c>
      <c r="Z31" s="67">
        <f t="shared" ref="Z31:AI31" si="15">-$I$5/1000*$W7*(100%+$X7)^(Z$22-1)</f>
        <v>-475.09687451448667</v>
      </c>
      <c r="AA31" s="67">
        <f t="shared" si="15"/>
        <v>-526.88243383656572</v>
      </c>
      <c r="AB31" s="67">
        <f t="shared" si="15"/>
        <v>-584.31261912475145</v>
      </c>
      <c r="AC31" s="67">
        <f t="shared" si="15"/>
        <v>-648.00269460934931</v>
      </c>
      <c r="AD31" s="67">
        <f t="shared" si="15"/>
        <v>-718.63498832176833</v>
      </c>
      <c r="AE31" s="67">
        <f t="shared" si="15"/>
        <v>-796.96620204884118</v>
      </c>
      <c r="AF31" s="67">
        <f t="shared" si="15"/>
        <v>-883.83551807216486</v>
      </c>
      <c r="AG31" s="67">
        <f t="shared" si="15"/>
        <v>-980.17358954203087</v>
      </c>
      <c r="AH31" s="67">
        <f t="shared" si="15"/>
        <v>-1087.012510802112</v>
      </c>
      <c r="AI31" s="67">
        <f t="shared" si="15"/>
        <v>-1205.4968744795422</v>
      </c>
      <c r="AK31" s="17">
        <f t="shared" si="10"/>
        <v>-1.7241379310344827E-2</v>
      </c>
      <c r="AL31" s="7">
        <f t="shared" si="11"/>
        <v>8.2942464022497404E-3</v>
      </c>
      <c r="AM31" s="31">
        <f t="shared" si="12"/>
        <v>-3808.2282065549243</v>
      </c>
      <c r="AN31" s="67">
        <f t="shared" si="13"/>
        <v>-11714.642511906537</v>
      </c>
      <c r="AP31" s="10"/>
    </row>
    <row r="32" spans="2:42" x14ac:dyDescent="0.3">
      <c r="B32" s="5" t="s">
        <v>106</v>
      </c>
      <c r="C32" s="2" t="s">
        <v>114</v>
      </c>
      <c r="D32" s="2"/>
      <c r="E32" s="31"/>
      <c r="F32" s="31">
        <f t="shared" ref="F32:Y32" si="16">-$I$5/1000*$W8*(100%+$X8)^(F$22-1)</f>
        <v>-96</v>
      </c>
      <c r="G32" s="31">
        <f t="shared" si="16"/>
        <v>-106.464</v>
      </c>
      <c r="H32" s="31">
        <f t="shared" si="16"/>
        <v>-118.06857600000001</v>
      </c>
      <c r="I32" s="31">
        <f t="shared" si="16"/>
        <v>-130.93805078400001</v>
      </c>
      <c r="J32" s="31">
        <f t="shared" si="16"/>
        <v>-145.210298319456</v>
      </c>
      <c r="K32" s="31">
        <f t="shared" si="16"/>
        <v>-161.03822083627668</v>
      </c>
      <c r="L32" s="31">
        <f t="shared" si="16"/>
        <v>-178.59138690743086</v>
      </c>
      <c r="M32" s="31">
        <f t="shared" si="16"/>
        <v>-198.05784808034082</v>
      </c>
      <c r="N32" s="31">
        <f t="shared" si="16"/>
        <v>-219.64615352109797</v>
      </c>
      <c r="O32" s="31">
        <f t="shared" si="16"/>
        <v>-243.58758425489765</v>
      </c>
      <c r="P32" s="31">
        <f t="shared" si="16"/>
        <v>-270.13863093868144</v>
      </c>
      <c r="Q32" s="31">
        <f t="shared" si="16"/>
        <v>-299.5837417109978</v>
      </c>
      <c r="R32" s="31">
        <f t="shared" si="16"/>
        <v>-332.23836955749647</v>
      </c>
      <c r="S32" s="31">
        <f t="shared" si="16"/>
        <v>-368.4523518392636</v>
      </c>
      <c r="T32" s="31">
        <f t="shared" si="16"/>
        <v>-408.61365818974343</v>
      </c>
      <c r="U32" s="31">
        <f t="shared" si="16"/>
        <v>-453.15254693242537</v>
      </c>
      <c r="V32" s="31">
        <f t="shared" si="16"/>
        <v>-502.54617454805975</v>
      </c>
      <c r="W32" s="31">
        <f t="shared" si="16"/>
        <v>-557.32370757379829</v>
      </c>
      <c r="X32" s="31">
        <f t="shared" si="16"/>
        <v>-618.07199169934233</v>
      </c>
      <c r="Y32" s="31">
        <f t="shared" si="16"/>
        <v>-685.44183879457057</v>
      </c>
      <c r="Z32" s="67">
        <f t="shared" ref="Z32:AI32" si="17">-$I$5/1000*$W8*(100%+$X8)^(Z$22-1)</f>
        <v>-760.15499922317872</v>
      </c>
      <c r="AA32" s="67">
        <f t="shared" si="17"/>
        <v>-843.01189413850511</v>
      </c>
      <c r="AB32" s="67">
        <f t="shared" si="17"/>
        <v>-934.9001905996023</v>
      </c>
      <c r="AC32" s="67">
        <f t="shared" si="17"/>
        <v>-1036.8043113749591</v>
      </c>
      <c r="AD32" s="67">
        <f t="shared" si="17"/>
        <v>-1149.8159813148295</v>
      </c>
      <c r="AE32" s="67">
        <f t="shared" si="17"/>
        <v>-1275.1459232781458</v>
      </c>
      <c r="AF32" s="67">
        <f t="shared" si="17"/>
        <v>-1414.1368289154636</v>
      </c>
      <c r="AG32" s="67">
        <f t="shared" si="17"/>
        <v>-1568.2777432672494</v>
      </c>
      <c r="AH32" s="67">
        <f t="shared" si="17"/>
        <v>-1739.2200172833793</v>
      </c>
      <c r="AI32" s="67">
        <f t="shared" si="17"/>
        <v>-1928.7949991672676</v>
      </c>
      <c r="AK32" s="17">
        <f>IFERROR(F32/$F$28,"")</f>
        <v>-2.7586206896551724E-2</v>
      </c>
      <c r="AL32" s="7">
        <f t="shared" si="11"/>
        <v>1.3270794243599584E-2</v>
      </c>
      <c r="AM32" s="31">
        <f t="shared" si="12"/>
        <v>-6093.1651304878778</v>
      </c>
      <c r="AN32" s="67">
        <f t="shared" si="13"/>
        <v>-18743.428019050458</v>
      </c>
      <c r="AP32" s="10"/>
    </row>
    <row r="33" spans="2:42" x14ac:dyDescent="0.3">
      <c r="B33" s="5" t="s">
        <v>69</v>
      </c>
      <c r="C33" s="2" t="s">
        <v>114</v>
      </c>
      <c r="D33" s="2"/>
      <c r="E33" s="31"/>
      <c r="F33" s="31">
        <f>-$I$5/1000*$W9*(100%+$X9)^(F$22-1)</f>
        <v>-167.76</v>
      </c>
      <c r="G33" s="31">
        <f t="shared" ref="G33:Y33" si="18">-$I$5/1000*$W9*(100%+$X9)^(G$22-1)</f>
        <v>-186.04584</v>
      </c>
      <c r="H33" s="31">
        <f t="shared" si="18"/>
        <v>-206.32483655999999</v>
      </c>
      <c r="I33" s="31">
        <f t="shared" si="18"/>
        <v>-228.81424374503999</v>
      </c>
      <c r="J33" s="31">
        <f t="shared" si="18"/>
        <v>-253.75499631324934</v>
      </c>
      <c r="K33" s="31">
        <f t="shared" si="18"/>
        <v>-281.41429091139349</v>
      </c>
      <c r="L33" s="31">
        <f t="shared" si="18"/>
        <v>-312.08844862073545</v>
      </c>
      <c r="M33" s="31">
        <f t="shared" si="18"/>
        <v>-346.10608952039559</v>
      </c>
      <c r="N33" s="31">
        <f t="shared" si="18"/>
        <v>-383.83165327811867</v>
      </c>
      <c r="O33" s="31">
        <f t="shared" si="18"/>
        <v>-425.6693034854336</v>
      </c>
      <c r="P33" s="31">
        <f t="shared" si="18"/>
        <v>-472.06725756534581</v>
      </c>
      <c r="Q33" s="31">
        <f t="shared" si="18"/>
        <v>-523.5225886399686</v>
      </c>
      <c r="R33" s="31">
        <f t="shared" si="18"/>
        <v>-580.58655080172502</v>
      </c>
      <c r="S33" s="31">
        <f t="shared" si="18"/>
        <v>-643.87048483911315</v>
      </c>
      <c r="T33" s="31">
        <f t="shared" si="18"/>
        <v>-714.05236768657653</v>
      </c>
      <c r="U33" s="31">
        <f t="shared" si="18"/>
        <v>-791.88407576441318</v>
      </c>
      <c r="V33" s="31">
        <f>-$I$5/1000*$W9*(100%+$X9)^(V$22-1)</f>
        <v>-878.19944002273439</v>
      </c>
      <c r="W33" s="31">
        <f t="shared" si="18"/>
        <v>-973.92317898521242</v>
      </c>
      <c r="X33" s="31">
        <f t="shared" si="18"/>
        <v>-1080.0808054946006</v>
      </c>
      <c r="Y33" s="31">
        <f t="shared" si="18"/>
        <v>-1197.809613293512</v>
      </c>
      <c r="Z33" s="67">
        <f t="shared" ref="Z33:AI33" si="19">-$I$5/1000*$W9*(100%+$X9)^(Z$22-1)</f>
        <v>-1328.3708611425047</v>
      </c>
      <c r="AA33" s="67">
        <f t="shared" si="19"/>
        <v>-1473.1632850070378</v>
      </c>
      <c r="AB33" s="67">
        <f t="shared" si="19"/>
        <v>-1633.738083072805</v>
      </c>
      <c r="AC33" s="67">
        <f t="shared" si="19"/>
        <v>-1811.8155341277406</v>
      </c>
      <c r="AD33" s="67">
        <f t="shared" si="19"/>
        <v>-2009.3034273476642</v>
      </c>
      <c r="AE33" s="67">
        <f t="shared" si="19"/>
        <v>-2228.3175009285596</v>
      </c>
      <c r="AF33" s="67">
        <f t="shared" si="19"/>
        <v>-2471.2041085297728</v>
      </c>
      <c r="AG33" s="67">
        <f t="shared" si="19"/>
        <v>-2740.5653563595183</v>
      </c>
      <c r="AH33" s="67">
        <f t="shared" si="19"/>
        <v>-3039.2869802027053</v>
      </c>
      <c r="AI33" s="67">
        <f t="shared" si="19"/>
        <v>-3370.5692610448</v>
      </c>
      <c r="AK33" s="17">
        <f t="shared" si="10"/>
        <v>-4.8206896551724138E-2</v>
      </c>
      <c r="AL33" s="7">
        <f t="shared" si="11"/>
        <v>2.3190712940690271E-2</v>
      </c>
      <c r="AM33" s="31">
        <f t="shared" si="12"/>
        <v>-10647.806065527568</v>
      </c>
      <c r="AN33" s="67">
        <f t="shared" si="13"/>
        <v>-32754.140463290674</v>
      </c>
      <c r="AP33" s="10"/>
    </row>
    <row r="34" spans="2:42" x14ac:dyDescent="0.3">
      <c r="B34" s="10" t="s">
        <v>147</v>
      </c>
      <c r="C34" s="2" t="s">
        <v>114</v>
      </c>
      <c r="D34" s="2"/>
      <c r="E34" s="31"/>
      <c r="F34" s="31">
        <f>-($I$5/1000*$I$7*(100%-$I$8))*W10</f>
        <v>-557.80763400000001</v>
      </c>
      <c r="G34" s="31">
        <f>F34+F34*X10</f>
        <v>-596.85416838000003</v>
      </c>
      <c r="H34" s="31">
        <f>G34+G34*$X$10</f>
        <v>-638.63396016659999</v>
      </c>
      <c r="I34" s="31">
        <f t="shared" ref="I34:AI34" si="20">H34+H34*$X$10</f>
        <v>-683.33833737826194</v>
      </c>
      <c r="J34" s="31">
        <f t="shared" si="20"/>
        <v>-731.17202099474025</v>
      </c>
      <c r="K34" s="31">
        <f t="shared" si="20"/>
        <v>-782.35406246437208</v>
      </c>
      <c r="L34" s="31">
        <f t="shared" si="20"/>
        <v>-837.11884683687811</v>
      </c>
      <c r="M34" s="31">
        <f t="shared" si="20"/>
        <v>-895.71716611545958</v>
      </c>
      <c r="N34" s="31">
        <f t="shared" si="20"/>
        <v>-958.41736774354172</v>
      </c>
      <c r="O34" s="31">
        <f t="shared" si="20"/>
        <v>-1025.5065834855895</v>
      </c>
      <c r="P34" s="31">
        <f t="shared" si="20"/>
        <v>-1097.2920443295809</v>
      </c>
      <c r="Q34" s="31">
        <f t="shared" si="20"/>
        <v>-1174.1024874326515</v>
      </c>
      <c r="R34" s="31">
        <f t="shared" si="20"/>
        <v>-1256.2896615529371</v>
      </c>
      <c r="S34" s="31">
        <f t="shared" si="20"/>
        <v>-1344.2299378616426</v>
      </c>
      <c r="T34" s="31">
        <f t="shared" si="20"/>
        <v>-1438.3260335119576</v>
      </c>
      <c r="U34" s="31">
        <f t="shared" si="20"/>
        <v>-1539.0088558577945</v>
      </c>
      <c r="V34" s="31">
        <f t="shared" si="20"/>
        <v>-1646.7394757678401</v>
      </c>
      <c r="W34" s="31">
        <f t="shared" si="20"/>
        <v>-1762.011239071589</v>
      </c>
      <c r="X34" s="31">
        <f t="shared" si="20"/>
        <v>-1885.3520258066003</v>
      </c>
      <c r="Y34" s="31">
        <f t="shared" si="20"/>
        <v>-2017.3266676130625</v>
      </c>
      <c r="Z34" s="67">
        <f t="shared" si="20"/>
        <v>-2158.5395343459768</v>
      </c>
      <c r="AA34" s="67">
        <f t="shared" si="20"/>
        <v>-2309.6373017501951</v>
      </c>
      <c r="AB34" s="67">
        <f t="shared" si="20"/>
        <v>-2471.3119128727089</v>
      </c>
      <c r="AC34" s="67">
        <f t="shared" si="20"/>
        <v>-2644.3037467737986</v>
      </c>
      <c r="AD34" s="67">
        <f t="shared" si="20"/>
        <v>-2829.4050090479645</v>
      </c>
      <c r="AE34" s="67">
        <f t="shared" si="20"/>
        <v>-3027.4633596813219</v>
      </c>
      <c r="AF34" s="67">
        <f t="shared" si="20"/>
        <v>-3239.3857948590144</v>
      </c>
      <c r="AG34" s="67">
        <f t="shared" si="20"/>
        <v>-3466.1428004991453</v>
      </c>
      <c r="AH34" s="67">
        <f t="shared" si="20"/>
        <v>-3708.7727965340855</v>
      </c>
      <c r="AI34" s="67">
        <f t="shared" si="20"/>
        <v>-3968.3868922914717</v>
      </c>
      <c r="AK34" s="17">
        <f>IFERROR(F34/$F$28,"")</f>
        <v>-0.16028955</v>
      </c>
      <c r="AL34" s="7">
        <f t="shared" si="11"/>
        <v>7.7109899357532333E-2</v>
      </c>
      <c r="AM34" s="31">
        <f t="shared" si="12"/>
        <v>-22867.598576371103</v>
      </c>
      <c r="AN34" s="67">
        <f t="shared" si="13"/>
        <v>-52690.947725026781</v>
      </c>
      <c r="AP34" s="10"/>
    </row>
    <row r="35" spans="2:42" x14ac:dyDescent="0.3">
      <c r="B35" s="1" t="s">
        <v>107</v>
      </c>
      <c r="C35" s="2" t="s">
        <v>114</v>
      </c>
      <c r="D35" s="2"/>
      <c r="E35" s="31"/>
      <c r="F35" s="31">
        <f>IF($W$12&lt;F$22,-$W$11*$I$5/1000*(100%+$X11)^(F$22-1-$W$12),0)</f>
        <v>-24</v>
      </c>
      <c r="G35" s="31">
        <f t="shared" ref="G35:AI35" si="21">IF($W$12&lt;G$22,-$W$11*$I$5/1000*(100%+$X11)^(G$22-1-$W$12),0)</f>
        <v>-26.616</v>
      </c>
      <c r="H35" s="31">
        <f t="shared" si="21"/>
        <v>-29.517144000000002</v>
      </c>
      <c r="I35" s="31">
        <f t="shared" si="21"/>
        <v>-32.734512696000003</v>
      </c>
      <c r="J35" s="31">
        <f t="shared" si="21"/>
        <v>-36.302574579864</v>
      </c>
      <c r="K35" s="31">
        <f t="shared" si="21"/>
        <v>-40.25955520906917</v>
      </c>
      <c r="L35" s="31">
        <f t="shared" si="21"/>
        <v>-44.647846726857715</v>
      </c>
      <c r="M35" s="31">
        <f t="shared" si="21"/>
        <v>-49.514462020085205</v>
      </c>
      <c r="N35" s="31">
        <f t="shared" si="21"/>
        <v>-54.911538380274493</v>
      </c>
      <c r="O35" s="31">
        <f t="shared" si="21"/>
        <v>-60.896896063724412</v>
      </c>
      <c r="P35" s="31">
        <f t="shared" si="21"/>
        <v>-67.534657734670361</v>
      </c>
      <c r="Q35" s="31">
        <f t="shared" si="21"/>
        <v>-74.89593542774945</v>
      </c>
      <c r="R35" s="31">
        <f t="shared" si="21"/>
        <v>-83.059592389374117</v>
      </c>
      <c r="S35" s="31">
        <f t="shared" si="21"/>
        <v>-92.1130879598159</v>
      </c>
      <c r="T35" s="31">
        <f t="shared" si="21"/>
        <v>-102.15341454743586</v>
      </c>
      <c r="U35" s="31">
        <f t="shared" si="21"/>
        <v>-113.28813673310634</v>
      </c>
      <c r="V35" s="31">
        <f t="shared" si="21"/>
        <v>-125.63654363701494</v>
      </c>
      <c r="W35" s="31">
        <f t="shared" si="21"/>
        <v>-139.33092689344957</v>
      </c>
      <c r="X35" s="31">
        <f t="shared" si="21"/>
        <v>-154.51799792483558</v>
      </c>
      <c r="Y35" s="31">
        <f t="shared" si="21"/>
        <v>-171.36045969864264</v>
      </c>
      <c r="Z35" s="67">
        <f t="shared" si="21"/>
        <v>-190.03874980579468</v>
      </c>
      <c r="AA35" s="67">
        <f t="shared" si="21"/>
        <v>-210.75297353462628</v>
      </c>
      <c r="AB35" s="67">
        <f t="shared" si="21"/>
        <v>-233.72504764990057</v>
      </c>
      <c r="AC35" s="67">
        <f t="shared" si="21"/>
        <v>-259.20107784373977</v>
      </c>
      <c r="AD35" s="67">
        <f t="shared" si="21"/>
        <v>-287.45399532870738</v>
      </c>
      <c r="AE35" s="67">
        <f t="shared" si="21"/>
        <v>-318.78648081953645</v>
      </c>
      <c r="AF35" s="67">
        <f t="shared" si="21"/>
        <v>-353.53420722886591</v>
      </c>
      <c r="AG35" s="67">
        <f t="shared" si="21"/>
        <v>-392.06943581681236</v>
      </c>
      <c r="AH35" s="67">
        <f t="shared" si="21"/>
        <v>-434.80500432084483</v>
      </c>
      <c r="AI35" s="67">
        <f t="shared" si="21"/>
        <v>-482.19874979181691</v>
      </c>
      <c r="AK35" s="17">
        <f t="shared" si="10"/>
        <v>-6.8965517241379309E-3</v>
      </c>
      <c r="AL35" s="7">
        <f t="shared" si="11"/>
        <v>3.317698560899896E-3</v>
      </c>
      <c r="AM35" s="31">
        <f t="shared" si="12"/>
        <v>-1523.2912826219695</v>
      </c>
      <c r="AN35" s="67">
        <f t="shared" si="13"/>
        <v>-4685.8570047626145</v>
      </c>
      <c r="AP35" s="10"/>
    </row>
    <row r="36" spans="2:42" x14ac:dyDescent="0.3">
      <c r="B36" s="1" t="s">
        <v>108</v>
      </c>
      <c r="C36" s="2" t="s">
        <v>114</v>
      </c>
      <c r="D36" s="2"/>
      <c r="E36" s="31"/>
      <c r="F36" s="31">
        <f t="shared" ref="F36:AI36" si="22">-$I$5/1000*$W13*(100%+$X13)^(F$22-1)</f>
        <v>0</v>
      </c>
      <c r="G36" s="31">
        <f t="shared" si="22"/>
        <v>0</v>
      </c>
      <c r="H36" s="31">
        <f t="shared" si="22"/>
        <v>0</v>
      </c>
      <c r="I36" s="31">
        <f t="shared" si="22"/>
        <v>0</v>
      </c>
      <c r="J36" s="31">
        <f t="shared" si="22"/>
        <v>0</v>
      </c>
      <c r="K36" s="31">
        <f t="shared" si="22"/>
        <v>0</v>
      </c>
      <c r="L36" s="31">
        <f t="shared" si="22"/>
        <v>0</v>
      </c>
      <c r="M36" s="31">
        <f t="shared" si="22"/>
        <v>0</v>
      </c>
      <c r="N36" s="31">
        <f t="shared" si="22"/>
        <v>0</v>
      </c>
      <c r="O36" s="31">
        <f t="shared" si="22"/>
        <v>0</v>
      </c>
      <c r="P36" s="31">
        <f t="shared" si="22"/>
        <v>0</v>
      </c>
      <c r="Q36" s="31">
        <f t="shared" si="22"/>
        <v>0</v>
      </c>
      <c r="R36" s="31">
        <f t="shared" si="22"/>
        <v>0</v>
      </c>
      <c r="S36" s="31">
        <f t="shared" si="22"/>
        <v>0</v>
      </c>
      <c r="T36" s="31">
        <f t="shared" si="22"/>
        <v>0</v>
      </c>
      <c r="U36" s="31">
        <f t="shared" si="22"/>
        <v>0</v>
      </c>
      <c r="V36" s="31">
        <f t="shared" si="22"/>
        <v>0</v>
      </c>
      <c r="W36" s="31">
        <f t="shared" si="22"/>
        <v>0</v>
      </c>
      <c r="X36" s="31">
        <f t="shared" si="22"/>
        <v>0</v>
      </c>
      <c r="Y36" s="31">
        <f t="shared" si="22"/>
        <v>0</v>
      </c>
      <c r="Z36" s="67">
        <f t="shared" si="22"/>
        <v>0</v>
      </c>
      <c r="AA36" s="67">
        <f t="shared" si="22"/>
        <v>0</v>
      </c>
      <c r="AB36" s="67">
        <f t="shared" si="22"/>
        <v>0</v>
      </c>
      <c r="AC36" s="67">
        <f t="shared" si="22"/>
        <v>0</v>
      </c>
      <c r="AD36" s="67">
        <f t="shared" si="22"/>
        <v>0</v>
      </c>
      <c r="AE36" s="67">
        <f t="shared" si="22"/>
        <v>0</v>
      </c>
      <c r="AF36" s="67">
        <f t="shared" si="22"/>
        <v>0</v>
      </c>
      <c r="AG36" s="67">
        <f t="shared" si="22"/>
        <v>0</v>
      </c>
      <c r="AH36" s="67">
        <f t="shared" si="22"/>
        <v>0</v>
      </c>
      <c r="AI36" s="67">
        <f t="shared" si="22"/>
        <v>0</v>
      </c>
      <c r="AK36" s="17">
        <f t="shared" si="10"/>
        <v>0</v>
      </c>
      <c r="AL36" s="7">
        <f t="shared" si="11"/>
        <v>0</v>
      </c>
      <c r="AM36" s="31">
        <f t="shared" si="12"/>
        <v>0</v>
      </c>
      <c r="AN36" s="67">
        <f t="shared" si="13"/>
        <v>0</v>
      </c>
      <c r="AP36" s="10"/>
    </row>
    <row r="37" spans="2:42" s="10" customFormat="1" x14ac:dyDescent="0.3">
      <c r="B37" s="11" t="s">
        <v>109</v>
      </c>
      <c r="C37" s="2" t="s">
        <v>114</v>
      </c>
      <c r="D37" s="18"/>
      <c r="E37" s="29"/>
      <c r="F37" s="29">
        <f t="shared" ref="F37:AI37" si="23">SUM(F30:F36)</f>
        <v>-905.567634</v>
      </c>
      <c r="G37" s="29">
        <f t="shared" si="23"/>
        <v>-982.52000838000004</v>
      </c>
      <c r="H37" s="29">
        <f t="shared" si="23"/>
        <v>-1066.3373767265998</v>
      </c>
      <c r="I37" s="29">
        <f t="shared" si="23"/>
        <v>-1157.6614263433019</v>
      </c>
      <c r="J37" s="29">
        <f t="shared" si="23"/>
        <v>-1257.1963266569696</v>
      </c>
      <c r="K37" s="29">
        <f t="shared" si="23"/>
        <v>-1365.7150174437843</v>
      </c>
      <c r="L37" s="29">
        <f t="shared" si="23"/>
        <v>-1484.0661459090463</v>
      </c>
      <c r="M37" s="29">
        <f t="shared" si="23"/>
        <v>-1613.181720786494</v>
      </c>
      <c r="N37" s="29">
        <f t="shared" si="23"/>
        <v>-1754.085558873719</v>
      </c>
      <c r="O37" s="29">
        <f t="shared" si="23"/>
        <v>-1907.9026074489561</v>
      </c>
      <c r="P37" s="29">
        <f t="shared" si="23"/>
        <v>-2075.8692349049543</v>
      </c>
      <c r="Q37" s="29">
        <f t="shared" si="23"/>
        <v>-2259.3445917807412</v>
      </c>
      <c r="R37" s="29">
        <f t="shared" si="23"/>
        <v>-2459.8231552749685</v>
      </c>
      <c r="S37" s="29">
        <f t="shared" si="23"/>
        <v>-2678.948582399375</v>
      </c>
      <c r="T37" s="29">
        <f t="shared" si="23"/>
        <v>-2918.529010304303</v>
      </c>
      <c r="U37" s="29">
        <f t="shared" si="23"/>
        <v>-3180.5539571205054</v>
      </c>
      <c r="V37" s="29">
        <f t="shared" si="23"/>
        <v>-3467.2129930681867</v>
      </c>
      <c r="W37" s="29">
        <f t="shared" si="23"/>
        <v>-3780.9163697576732</v>
      </c>
      <c r="X37" s="29">
        <f t="shared" si="23"/>
        <v>-4124.3178157374678</v>
      </c>
      <c r="Y37" s="29">
        <f t="shared" si="23"/>
        <v>-4500.3397286463942</v>
      </c>
      <c r="Z37" s="66">
        <f t="shared" si="23"/>
        <v>-4912.2010190319415</v>
      </c>
      <c r="AA37" s="66">
        <f t="shared" si="23"/>
        <v>-5363.4478882669291</v>
      </c>
      <c r="AB37" s="66">
        <f t="shared" si="23"/>
        <v>-5857.987853319768</v>
      </c>
      <c r="AC37" s="66">
        <f t="shared" si="23"/>
        <v>-6400.1273647295875</v>
      </c>
      <c r="AD37" s="66">
        <f t="shared" si="23"/>
        <v>-6994.6134013609335</v>
      </c>
      <c r="AE37" s="66">
        <f t="shared" si="23"/>
        <v>-7646.6794667564054</v>
      </c>
      <c r="AF37" s="66">
        <f t="shared" si="23"/>
        <v>-8362.0964576052811</v>
      </c>
      <c r="AG37" s="66">
        <f t="shared" si="23"/>
        <v>-9147.2289254847565</v>
      </c>
      <c r="AH37" s="66">
        <f t="shared" si="23"/>
        <v>-10009.097309143126</v>
      </c>
      <c r="AI37" s="66">
        <f t="shared" si="23"/>
        <v>-10955.446776774897</v>
      </c>
      <c r="AK37" s="24">
        <f t="shared" si="10"/>
        <v>-0.26022058448275864</v>
      </c>
      <c r="AL37" s="23">
        <f t="shared" si="11"/>
        <v>0.12518335150497181</v>
      </c>
      <c r="AM37" s="29">
        <f t="shared" si="12"/>
        <v>-44940.089261563444</v>
      </c>
      <c r="AN37" s="66">
        <f t="shared" si="13"/>
        <v>-120589.01572403708</v>
      </c>
    </row>
    <row r="38" spans="2:42" s="42" customFormat="1" x14ac:dyDescent="0.3">
      <c r="B38" s="89" t="s">
        <v>119</v>
      </c>
      <c r="C38" s="43" t="s">
        <v>1</v>
      </c>
      <c r="D38" s="43"/>
      <c r="F38" s="42">
        <f t="shared" ref="F38:AI38" si="24">-F37/F28</f>
        <v>0.26022058448275864</v>
      </c>
      <c r="G38" s="42">
        <f t="shared" si="24"/>
        <v>0.25676019959396063</v>
      </c>
      <c r="H38" s="42">
        <f t="shared" si="24"/>
        <v>0.25342326319782288</v>
      </c>
      <c r="I38" s="42">
        <f t="shared" si="24"/>
        <v>0.25020671132476263</v>
      </c>
      <c r="J38" s="42">
        <f t="shared" si="24"/>
        <v>0.24710756469659056</v>
      </c>
      <c r="K38" s="42">
        <f t="shared" si="24"/>
        <v>0.24412292646569969</v>
      </c>
      <c r="L38" s="42">
        <f t="shared" si="24"/>
        <v>0.24124998001527334</v>
      </c>
      <c r="M38" s="42">
        <f t="shared" si="24"/>
        <v>0.23848598681887032</v>
      </c>
      <c r="N38" s="42">
        <f t="shared" si="24"/>
        <v>0.23582828435779116</v>
      </c>
      <c r="O38" s="42">
        <f t="shared" si="24"/>
        <v>0.23327428409467157</v>
      </c>
      <c r="P38" s="42">
        <f t="shared" si="24"/>
        <v>0.23082146950179047</v>
      </c>
      <c r="Q38" s="42">
        <f t="shared" si="24"/>
        <v>0.22846739414262157</v>
      </c>
      <c r="R38" s="42">
        <f t="shared" si="24"/>
        <v>0.22620967980519616</v>
      </c>
      <c r="S38" s="42">
        <f t="shared" si="24"/>
        <v>0.22404601468588528</v>
      </c>
      <c r="T38" s="42">
        <f t="shared" si="24"/>
        <v>0.22197415162224343</v>
      </c>
      <c r="U38" s="42">
        <f t="shared" si="24"/>
        <v>0.21999190637359675</v>
      </c>
      <c r="V38" s="42">
        <f t="shared" si="24"/>
        <v>0.21809715594809065</v>
      </c>
      <c r="W38" s="42">
        <f t="shared" si="24"/>
        <v>0.21628783697494769</v>
      </c>
      <c r="X38" s="42">
        <f t="shared" si="24"/>
        <v>0.21456194412072196</v>
      </c>
      <c r="Y38" s="42">
        <f t="shared" si="24"/>
        <v>0.21291752854836454</v>
      </c>
      <c r="Z38" s="42">
        <f>-Z37/Z28</f>
        <v>0.21135269641795165</v>
      </c>
      <c r="AA38" s="42">
        <f t="shared" si="24"/>
        <v>0.20986560742795365</v>
      </c>
      <c r="AB38" s="42">
        <f t="shared" si="24"/>
        <v>0.20845447339595713</v>
      </c>
      <c r="AC38" s="42">
        <f t="shared" si="24"/>
        <v>0.20711755687777719</v>
      </c>
      <c r="AD38" s="42">
        <f t="shared" si="24"/>
        <v>0.20585316982393068</v>
      </c>
      <c r="AE38" s="42">
        <f t="shared" si="24"/>
        <v>0.20465967227246451</v>
      </c>
      <c r="AF38" s="42">
        <f t="shared" si="24"/>
        <v>0.20353547107716266</v>
      </c>
      <c r="AG38" s="42">
        <f t="shared" si="24"/>
        <v>0.20247901867018175</v>
      </c>
      <c r="AH38" s="42">
        <f t="shared" si="24"/>
        <v>0.20148881185818843</v>
      </c>
      <c r="AI38" s="42">
        <f t="shared" si="24"/>
        <v>0.2005633906511009</v>
      </c>
      <c r="AM38" s="44"/>
      <c r="AN38" s="44"/>
      <c r="AP38" s="10"/>
    </row>
    <row r="39" spans="2:42" x14ac:dyDescent="0.3">
      <c r="C39" s="2"/>
      <c r="D39" s="2"/>
      <c r="E39" s="28"/>
      <c r="F39" s="28"/>
      <c r="G39" s="28"/>
      <c r="H39" s="28"/>
      <c r="I39" s="28"/>
      <c r="J39" s="28"/>
      <c r="K39" s="28"/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/>
      <c r="X39" s="28"/>
      <c r="Y39" s="28"/>
      <c r="Z39" s="64"/>
      <c r="AA39" s="64"/>
      <c r="AB39" s="64"/>
      <c r="AC39" s="64"/>
      <c r="AD39" s="64"/>
      <c r="AE39" s="64"/>
      <c r="AF39" s="64"/>
      <c r="AG39" s="64"/>
      <c r="AH39" s="64"/>
      <c r="AI39" s="64"/>
      <c r="AK39" s="4"/>
      <c r="AL39" s="7"/>
      <c r="AM39" s="28"/>
      <c r="AN39" s="64"/>
      <c r="AP39" s="10"/>
    </row>
    <row r="40" spans="2:42" x14ac:dyDescent="0.3">
      <c r="B40" s="91" t="s">
        <v>131</v>
      </c>
      <c r="C40" s="92" t="s">
        <v>114</v>
      </c>
      <c r="D40" s="93"/>
      <c r="E40" s="94"/>
      <c r="F40" s="94">
        <f t="shared" ref="F40:AI40" si="25">F28+F37</f>
        <v>2574.432366</v>
      </c>
      <c r="G40" s="94">
        <f t="shared" si="25"/>
        <v>2844.0855556199995</v>
      </c>
      <c r="H40" s="94">
        <f t="shared" si="25"/>
        <v>3141.3954228239058</v>
      </c>
      <c r="I40" s="94">
        <f t="shared" si="25"/>
        <v>3469.158614629474</v>
      </c>
      <c r="J40" s="94">
        <f t="shared" si="25"/>
        <v>3830.4517516226656</v>
      </c>
      <c r="K40" s="94">
        <f t="shared" si="25"/>
        <v>4228.6592480788477</v>
      </c>
      <c r="L40" s="94">
        <f t="shared" si="25"/>
        <v>4667.5038803976558</v>
      </c>
      <c r="M40" s="94">
        <f t="shared" si="25"/>
        <v>5151.0803740413357</v>
      </c>
      <c r="N40" s="94">
        <f>N28+N37</f>
        <v>5683.8923056154963</v>
      </c>
      <c r="O40" s="94">
        <f t="shared" si="25"/>
        <v>6270.8926457588805</v>
      </c>
      <c r="P40" s="94">
        <f t="shared" si="25"/>
        <v>6917.5283003657059</v>
      </c>
      <c r="Q40" s="94">
        <f t="shared" si="25"/>
        <v>7629.7890426246022</v>
      </c>
      <c r="R40" s="94">
        <f t="shared" si="25"/>
        <v>8414.2612667236026</v>
      </c>
      <c r="S40" s="94">
        <f t="shared" si="25"/>
        <v>9278.1870361711553</v>
      </c>
      <c r="T40" s="94">
        <f t="shared" si="25"/>
        <v>10229.528945880922</v>
      </c>
      <c r="U40" s="94">
        <f t="shared" si="25"/>
        <v>11277.041367860198</v>
      </c>
      <c r="V40" s="94">
        <f t="shared" si="25"/>
        <v>12430.348705963868</v>
      </c>
      <c r="W40" s="94">
        <f t="shared" si="25"/>
        <v>13700.031346204789</v>
      </c>
      <c r="X40" s="94">
        <f t="shared" si="25"/>
        <v>15097.720056071455</v>
      </c>
      <c r="Y40" s="94">
        <f t="shared" si="25"/>
        <v>16636.19965976819</v>
      </c>
      <c r="Z40" s="95">
        <f t="shared" si="25"/>
        <v>18329.522896891158</v>
      </c>
      <c r="AA40" s="95">
        <f t="shared" si="25"/>
        <v>20193.135460475372</v>
      </c>
      <c r="AB40" s="95">
        <f t="shared" si="25"/>
        <v>22244.01330734892</v>
      </c>
      <c r="AC40" s="95">
        <f t="shared" si="25"/>
        <v>24500.81344014089</v>
      </c>
      <c r="AD40" s="95">
        <f t="shared" si="25"/>
        <v>26984.039477016078</v>
      </c>
      <c r="AE40" s="95">
        <f t="shared" si="25"/>
        <v>29716.223453249939</v>
      </c>
      <c r="AF40" s="95">
        <f t="shared" si="25"/>
        <v>32722.125439201656</v>
      </c>
      <c r="AG40" s="95">
        <f t="shared" si="25"/>
        <v>36028.952713288818</v>
      </c>
      <c r="AH40" s="95">
        <f t="shared" si="25"/>
        <v>39666.600397525151</v>
      </c>
      <c r="AI40" s="95">
        <f t="shared" si="25"/>
        <v>43667.915648489143</v>
      </c>
      <c r="AK40" s="24">
        <f>IFERROR(F40/$F$28,"")</f>
        <v>0.73977941551724136</v>
      </c>
      <c r="AL40" s="23">
        <f>IFERROR(ABS(F40/($F$37+$F$46+$F$57+$F$66)),"")</f>
        <v>0.35588293982551311</v>
      </c>
      <c r="AM40" s="29">
        <f>SUM(F40:Y40)</f>
        <v>153472.18789222278</v>
      </c>
      <c r="AN40" s="66">
        <f>SUM(F40:AI40)</f>
        <v>447525.53012584988</v>
      </c>
      <c r="AP40" s="10"/>
    </row>
    <row r="41" spans="2:42" s="42" customFormat="1" x14ac:dyDescent="0.3">
      <c r="B41" s="42" t="s">
        <v>132</v>
      </c>
      <c r="C41" s="43" t="s">
        <v>1</v>
      </c>
      <c r="D41" s="43"/>
      <c r="F41" s="42">
        <f>F40/F28</f>
        <v>0.73977941551724136</v>
      </c>
      <c r="G41" s="42">
        <f t="shared" ref="G41:AI41" si="26">G40/G28</f>
        <v>0.74323980040603943</v>
      </c>
      <c r="H41" s="42">
        <f t="shared" si="26"/>
        <v>0.74657673680217718</v>
      </c>
      <c r="I41" s="42">
        <f t="shared" si="26"/>
        <v>0.74979328867523731</v>
      </c>
      <c r="J41" s="42">
        <f t="shared" si="26"/>
        <v>0.75289243530340944</v>
      </c>
      <c r="K41" s="42">
        <f t="shared" si="26"/>
        <v>0.75587707353430023</v>
      </c>
      <c r="L41" s="42">
        <f t="shared" si="26"/>
        <v>0.75875001998472669</v>
      </c>
      <c r="M41" s="42">
        <f t="shared" si="26"/>
        <v>0.76151401318112966</v>
      </c>
      <c r="N41" s="42">
        <f t="shared" si="26"/>
        <v>0.76417171564220876</v>
      </c>
      <c r="O41" s="42">
        <f t="shared" si="26"/>
        <v>0.76672571590532845</v>
      </c>
      <c r="P41" s="42">
        <f t="shared" si="26"/>
        <v>0.7691785304982095</v>
      </c>
      <c r="Q41" s="42">
        <f t="shared" si="26"/>
        <v>0.77153260585737848</v>
      </c>
      <c r="R41" s="42">
        <f t="shared" si="26"/>
        <v>0.77379032019480376</v>
      </c>
      <c r="S41" s="42">
        <f t="shared" si="26"/>
        <v>0.77595398531411475</v>
      </c>
      <c r="T41" s="42">
        <f t="shared" si="26"/>
        <v>0.77802584837775657</v>
      </c>
      <c r="U41" s="42">
        <f t="shared" si="26"/>
        <v>0.78000809362640322</v>
      </c>
      <c r="V41" s="42">
        <f t="shared" si="26"/>
        <v>0.78190284405190946</v>
      </c>
      <c r="W41" s="42">
        <f t="shared" si="26"/>
        <v>0.78371216302505231</v>
      </c>
      <c r="X41" s="42">
        <f t="shared" si="26"/>
        <v>0.78543805587927806</v>
      </c>
      <c r="Y41" s="42">
        <f t="shared" si="26"/>
        <v>0.78708247145163546</v>
      </c>
      <c r="Z41" s="42">
        <f t="shared" si="26"/>
        <v>0.78864730358204838</v>
      </c>
      <c r="AA41" s="42">
        <f t="shared" si="26"/>
        <v>0.79013439257204632</v>
      </c>
      <c r="AB41" s="42">
        <f t="shared" si="26"/>
        <v>0.79154552660404276</v>
      </c>
      <c r="AC41" s="42">
        <f t="shared" si="26"/>
        <v>0.79288244312222278</v>
      </c>
      <c r="AD41" s="42">
        <f t="shared" si="26"/>
        <v>0.79414683017606935</v>
      </c>
      <c r="AE41" s="42">
        <f t="shared" si="26"/>
        <v>0.79534032772753549</v>
      </c>
      <c r="AF41" s="42">
        <f t="shared" si="26"/>
        <v>0.79646452892283737</v>
      </c>
      <c r="AG41" s="42">
        <f t="shared" si="26"/>
        <v>0.7975209813298183</v>
      </c>
      <c r="AH41" s="42">
        <f t="shared" si="26"/>
        <v>0.79851118814181166</v>
      </c>
      <c r="AI41" s="42">
        <f t="shared" si="26"/>
        <v>0.79943660934889915</v>
      </c>
      <c r="AM41" s="44"/>
      <c r="AN41" s="44"/>
      <c r="AP41" s="10"/>
    </row>
    <row r="42" spans="2:42" x14ac:dyDescent="0.3">
      <c r="B42" s="1" t="s">
        <v>130</v>
      </c>
      <c r="C42" s="2" t="s">
        <v>114</v>
      </c>
      <c r="D42" s="2"/>
      <c r="E42" s="28"/>
      <c r="F42" s="28">
        <f>IF(F22&lt;=$O$12,-$I$5/1000*$O$5/$O$12,0)</f>
        <v>-2481.6990000000005</v>
      </c>
      <c r="G42" s="28">
        <f t="shared" ref="F42:AI42" si="27">IF(G22&lt;=$O$12,-$I$5/1000*$O$5/$O$12,0)</f>
        <v>-2481.6990000000005</v>
      </c>
      <c r="H42" s="28">
        <f t="shared" si="27"/>
        <v>-2481.6990000000005</v>
      </c>
      <c r="I42" s="28">
        <f t="shared" si="27"/>
        <v>-2481.6990000000005</v>
      </c>
      <c r="J42" s="28">
        <f t="shared" si="27"/>
        <v>-2481.6990000000005</v>
      </c>
      <c r="K42" s="28">
        <f t="shared" si="27"/>
        <v>-2481.6990000000005</v>
      </c>
      <c r="L42" s="28">
        <f t="shared" si="27"/>
        <v>-2481.6990000000005</v>
      </c>
      <c r="M42" s="28">
        <f t="shared" si="27"/>
        <v>-2481.6990000000005</v>
      </c>
      <c r="N42" s="28">
        <f t="shared" si="27"/>
        <v>-2481.6990000000005</v>
      </c>
      <c r="O42" s="28">
        <f t="shared" si="27"/>
        <v>-2481.6990000000005</v>
      </c>
      <c r="P42" s="28">
        <f t="shared" si="27"/>
        <v>-2481.6990000000005</v>
      </c>
      <c r="Q42" s="28">
        <f t="shared" si="27"/>
        <v>-2481.6990000000005</v>
      </c>
      <c r="R42" s="28">
        <f t="shared" si="27"/>
        <v>-2481.6990000000005</v>
      </c>
      <c r="S42" s="28">
        <f t="shared" si="27"/>
        <v>-2481.6990000000005</v>
      </c>
      <c r="T42" s="28">
        <f t="shared" si="27"/>
        <v>-2481.6990000000005</v>
      </c>
      <c r="U42" s="28">
        <f t="shared" si="27"/>
        <v>-2481.6990000000005</v>
      </c>
      <c r="V42" s="28">
        <f t="shared" si="27"/>
        <v>-2481.6990000000005</v>
      </c>
      <c r="W42" s="28">
        <f t="shared" si="27"/>
        <v>-2481.6990000000005</v>
      </c>
      <c r="X42" s="28">
        <f t="shared" si="27"/>
        <v>-2481.6990000000005</v>
      </c>
      <c r="Y42" s="28">
        <f t="shared" si="27"/>
        <v>-2481.6990000000005</v>
      </c>
      <c r="Z42" s="64">
        <f t="shared" si="27"/>
        <v>0</v>
      </c>
      <c r="AA42" s="64">
        <f t="shared" si="27"/>
        <v>0</v>
      </c>
      <c r="AB42" s="64">
        <f t="shared" si="27"/>
        <v>0</v>
      </c>
      <c r="AC42" s="64">
        <f t="shared" si="27"/>
        <v>0</v>
      </c>
      <c r="AD42" s="64">
        <f t="shared" si="27"/>
        <v>0</v>
      </c>
      <c r="AE42" s="64">
        <f t="shared" si="27"/>
        <v>0</v>
      </c>
      <c r="AF42" s="64">
        <f t="shared" si="27"/>
        <v>0</v>
      </c>
      <c r="AG42" s="64">
        <f t="shared" si="27"/>
        <v>0</v>
      </c>
      <c r="AH42" s="64">
        <f t="shared" si="27"/>
        <v>0</v>
      </c>
      <c r="AI42" s="64">
        <f t="shared" si="27"/>
        <v>0</v>
      </c>
      <c r="AK42" s="17">
        <f>IFERROR(F42/$F$28,"")</f>
        <v>-0.71313189655172426</v>
      </c>
      <c r="AL42" s="7">
        <f>IFERROR(ABS(F42/($F$37+$F$46+$F$57+$F$66)),"")</f>
        <v>0.34306371670361302</v>
      </c>
      <c r="AM42" s="28">
        <f>SUM(F42:Y42)</f>
        <v>-49633.98000000001</v>
      </c>
      <c r="AN42" s="64">
        <f>SUM(F42:AI42)</f>
        <v>-49633.98000000001</v>
      </c>
      <c r="AP42" s="10"/>
    </row>
    <row r="43" spans="2:42" x14ac:dyDescent="0.3">
      <c r="B43" s="11" t="s">
        <v>3</v>
      </c>
      <c r="C43" s="16" t="s">
        <v>113</v>
      </c>
      <c r="D43" s="18"/>
      <c r="E43" s="29"/>
      <c r="F43" s="29">
        <f>F40+F42</f>
        <v>92.733365999999478</v>
      </c>
      <c r="G43" s="29">
        <f t="shared" ref="G43:W43" si="28">G40+G42</f>
        <v>362.38655561999894</v>
      </c>
      <c r="H43" s="29">
        <f t="shared" si="28"/>
        <v>659.69642282390532</v>
      </c>
      <c r="I43" s="29">
        <f t="shared" si="28"/>
        <v>987.45961462947344</v>
      </c>
      <c r="J43" s="29">
        <f t="shared" si="28"/>
        <v>1348.7527516226651</v>
      </c>
      <c r="K43" s="29">
        <f t="shared" si="28"/>
        <v>1746.9602480788471</v>
      </c>
      <c r="L43" s="29">
        <f t="shared" si="28"/>
        <v>2185.8048803976553</v>
      </c>
      <c r="M43" s="29">
        <f t="shared" si="28"/>
        <v>2669.3813740413352</v>
      </c>
      <c r="N43" s="29">
        <f t="shared" si="28"/>
        <v>3202.1933056154958</v>
      </c>
      <c r="O43" s="29">
        <f t="shared" si="28"/>
        <v>3789.1936457588799</v>
      </c>
      <c r="P43" s="29">
        <f t="shared" si="28"/>
        <v>4435.8293003657054</v>
      </c>
      <c r="Q43" s="29">
        <f t="shared" si="28"/>
        <v>5148.0900426246017</v>
      </c>
      <c r="R43" s="29">
        <f t="shared" si="28"/>
        <v>5932.5622667236021</v>
      </c>
      <c r="S43" s="29">
        <f t="shared" si="28"/>
        <v>6796.4880361711548</v>
      </c>
      <c r="T43" s="29">
        <f t="shared" si="28"/>
        <v>7747.8299458809215</v>
      </c>
      <c r="U43" s="29">
        <f t="shared" si="28"/>
        <v>8795.3423678601976</v>
      </c>
      <c r="V43" s="29">
        <f t="shared" si="28"/>
        <v>9948.6497059638677</v>
      </c>
      <c r="W43" s="29">
        <f t="shared" si="28"/>
        <v>11218.332346204788</v>
      </c>
      <c r="X43" s="29">
        <f t="shared" ref="X43:AI43" si="29">X40+X42</f>
        <v>12616.021056071455</v>
      </c>
      <c r="Y43" s="29">
        <f t="shared" si="29"/>
        <v>14154.50065976819</v>
      </c>
      <c r="Z43" s="66">
        <f t="shared" si="29"/>
        <v>18329.522896891158</v>
      </c>
      <c r="AA43" s="66">
        <f t="shared" si="29"/>
        <v>20193.135460475372</v>
      </c>
      <c r="AB43" s="66">
        <f t="shared" si="29"/>
        <v>22244.01330734892</v>
      </c>
      <c r="AC43" s="66">
        <f t="shared" si="29"/>
        <v>24500.81344014089</v>
      </c>
      <c r="AD43" s="66">
        <f t="shared" si="29"/>
        <v>26984.039477016078</v>
      </c>
      <c r="AE43" s="66">
        <f t="shared" si="29"/>
        <v>29716.223453249939</v>
      </c>
      <c r="AF43" s="66">
        <f t="shared" si="29"/>
        <v>32722.125439201656</v>
      </c>
      <c r="AG43" s="66">
        <f t="shared" si="29"/>
        <v>36028.952713288818</v>
      </c>
      <c r="AH43" s="66">
        <f t="shared" si="29"/>
        <v>39666.600397525151</v>
      </c>
      <c r="AI43" s="66">
        <f t="shared" si="29"/>
        <v>43667.915648489143</v>
      </c>
      <c r="AK43" s="24">
        <f>IFERROR(F43/$F$28,"")</f>
        <v>2.6647518965517092E-2</v>
      </c>
      <c r="AL43" s="23">
        <f>IFERROR(ABS(F43/($F$37+$F$46+$F$57+$F$66)),"")</f>
        <v>1.2819223121900068E-2</v>
      </c>
      <c r="AM43" s="29">
        <f>SUM(F43:Y43)</f>
        <v>103838.20789222272</v>
      </c>
      <c r="AN43" s="66">
        <f>SUM(F43:AI43)</f>
        <v>397891.55012584978</v>
      </c>
      <c r="AP43" s="10"/>
    </row>
    <row r="44" spans="2:42" s="42" customFormat="1" x14ac:dyDescent="0.3">
      <c r="B44" s="42" t="s">
        <v>18</v>
      </c>
      <c r="C44" s="43" t="s">
        <v>1</v>
      </c>
      <c r="D44" s="43"/>
      <c r="F44" s="42">
        <f t="shared" ref="F44:AI44" si="30">F43/F28</f>
        <v>2.6647518965517092E-2</v>
      </c>
      <c r="G44" s="42">
        <f t="shared" si="30"/>
        <v>9.4701831573461584E-2</v>
      </c>
      <c r="H44" s="42">
        <f t="shared" si="30"/>
        <v>0.15678191896937418</v>
      </c>
      <c r="I44" s="42">
        <f t="shared" si="30"/>
        <v>0.21342079568365119</v>
      </c>
      <c r="J44" s="42">
        <f t="shared" si="30"/>
        <v>0.26510338979238901</v>
      </c>
      <c r="K44" s="42">
        <f t="shared" si="30"/>
        <v>0.31227089307290817</v>
      </c>
      <c r="L44" s="42">
        <f t="shared" si="30"/>
        <v>0.35532471727546527</v>
      </c>
      <c r="M44" s="42">
        <f t="shared" si="30"/>
        <v>0.39463009218439793</v>
      </c>
      <c r="N44" s="42">
        <f t="shared" si="30"/>
        <v>0.43051933791085545</v>
      </c>
      <c r="O44" s="42">
        <f t="shared" si="30"/>
        <v>0.46329484092081974</v>
      </c>
      <c r="P44" s="42">
        <f t="shared" si="30"/>
        <v>0.49323176062985047</v>
      </c>
      <c r="Q44" s="42">
        <f t="shared" si="30"/>
        <v>0.52058049096574555</v>
      </c>
      <c r="R44" s="42">
        <f t="shared" si="30"/>
        <v>0.54556889909019513</v>
      </c>
      <c r="S44" s="42">
        <f t="shared" si="30"/>
        <v>0.56840436146058126</v>
      </c>
      <c r="T44" s="42">
        <f t="shared" si="30"/>
        <v>0.58927561558519903</v>
      </c>
      <c r="U44" s="42">
        <f t="shared" si="30"/>
        <v>0.60835444416285989</v>
      </c>
      <c r="V44" s="42">
        <f t="shared" si="30"/>
        <v>0.62579720678609507</v>
      </c>
      <c r="W44" s="42">
        <f t="shared" si="30"/>
        <v>0.64174623301235201</v>
      </c>
      <c r="X44" s="42">
        <f t="shared" si="30"/>
        <v>0.65633108935729101</v>
      </c>
      <c r="Y44" s="42">
        <f t="shared" si="30"/>
        <v>0.66966973162724031</v>
      </c>
      <c r="Z44" s="42">
        <f t="shared" si="30"/>
        <v>0.78864730358204838</v>
      </c>
      <c r="AA44" s="42">
        <f t="shared" si="30"/>
        <v>0.79013439257204632</v>
      </c>
      <c r="AB44" s="42">
        <f t="shared" si="30"/>
        <v>0.79154552660404276</v>
      </c>
      <c r="AC44" s="42">
        <f t="shared" si="30"/>
        <v>0.79288244312222278</v>
      </c>
      <c r="AD44" s="42">
        <f t="shared" si="30"/>
        <v>0.79414683017606935</v>
      </c>
      <c r="AE44" s="42">
        <f t="shared" si="30"/>
        <v>0.79534032772753549</v>
      </c>
      <c r="AF44" s="42">
        <f t="shared" si="30"/>
        <v>0.79646452892283737</v>
      </c>
      <c r="AG44" s="42">
        <f t="shared" si="30"/>
        <v>0.7975209813298183</v>
      </c>
      <c r="AH44" s="42">
        <f t="shared" si="30"/>
        <v>0.79851118814181166</v>
      </c>
      <c r="AI44" s="42">
        <f t="shared" si="30"/>
        <v>0.79943660934889915</v>
      </c>
      <c r="AM44" s="44"/>
      <c r="AN44" s="44"/>
      <c r="AP44" s="10"/>
    </row>
    <row r="45" spans="2:42" ht="15" thickBot="1" x14ac:dyDescent="0.35">
      <c r="B45" s="98"/>
      <c r="C45" s="103"/>
      <c r="D45" s="103"/>
      <c r="E45" s="104"/>
      <c r="F45" s="104"/>
      <c r="G45" s="104"/>
      <c r="H45" s="104"/>
      <c r="I45" s="104"/>
      <c r="J45" s="104"/>
      <c r="K45" s="104"/>
      <c r="L45" s="104"/>
      <c r="M45" s="104"/>
      <c r="N45" s="104"/>
      <c r="O45" s="104"/>
      <c r="P45" s="104"/>
      <c r="Q45" s="104"/>
      <c r="R45" s="104"/>
      <c r="S45" s="104"/>
      <c r="T45" s="104"/>
      <c r="U45" s="104"/>
      <c r="V45" s="104"/>
      <c r="W45" s="104"/>
      <c r="X45" s="104"/>
      <c r="Y45" s="104"/>
      <c r="Z45" s="105"/>
      <c r="AA45" s="105"/>
      <c r="AB45" s="105"/>
      <c r="AC45" s="105"/>
      <c r="AD45" s="105"/>
      <c r="AE45" s="105"/>
      <c r="AF45" s="105"/>
      <c r="AG45" s="105"/>
      <c r="AH45" s="105"/>
      <c r="AI45" s="105"/>
      <c r="AK45" s="17"/>
      <c r="AL45" s="7"/>
      <c r="AM45" s="28"/>
      <c r="AN45" s="64"/>
      <c r="AP45" s="10"/>
    </row>
    <row r="46" spans="2:42" ht="15.6" thickTop="1" thickBot="1" x14ac:dyDescent="0.35">
      <c r="B46" s="98" t="s">
        <v>133</v>
      </c>
      <c r="C46" s="103"/>
      <c r="D46" s="103"/>
      <c r="E46" s="104"/>
      <c r="F46" s="104">
        <f>-$AD$9*F65</f>
        <v>-6432.5638080000017</v>
      </c>
      <c r="G46" s="104">
        <f t="shared" ref="G46:AI46" si="31">-$AD$9*G65</f>
        <v>-6432.5638080000017</v>
      </c>
      <c r="H46" s="104">
        <f t="shared" si="31"/>
        <v>-5717.8344960000013</v>
      </c>
      <c r="I46" s="104">
        <f t="shared" si="31"/>
        <v>-5003.1051840000009</v>
      </c>
      <c r="J46" s="104">
        <f t="shared" si="31"/>
        <v>-4288.3758720000014</v>
      </c>
      <c r="K46" s="104">
        <f t="shared" si="31"/>
        <v>-3573.646560000001</v>
      </c>
      <c r="L46" s="104">
        <f t="shared" si="31"/>
        <v>-2858.9172480000011</v>
      </c>
      <c r="M46" s="104">
        <f t="shared" si="31"/>
        <v>-2144.1879360000012</v>
      </c>
      <c r="N46" s="104">
        <f t="shared" si="31"/>
        <v>-1429.4586240000012</v>
      </c>
      <c r="O46" s="104">
        <f t="shared" si="31"/>
        <v>-714.72931200000096</v>
      </c>
      <c r="P46" s="104">
        <f t="shared" si="31"/>
        <v>0</v>
      </c>
      <c r="Q46" s="104">
        <f t="shared" si="31"/>
        <v>0</v>
      </c>
      <c r="R46" s="104">
        <f t="shared" si="31"/>
        <v>0</v>
      </c>
      <c r="S46" s="104">
        <f t="shared" si="31"/>
        <v>0</v>
      </c>
      <c r="T46" s="104">
        <f t="shared" si="31"/>
        <v>0</v>
      </c>
      <c r="U46" s="104">
        <f t="shared" si="31"/>
        <v>0</v>
      </c>
      <c r="V46" s="104">
        <f t="shared" si="31"/>
        <v>0</v>
      </c>
      <c r="W46" s="104">
        <f t="shared" si="31"/>
        <v>0</v>
      </c>
      <c r="X46" s="104">
        <f t="shared" si="31"/>
        <v>0</v>
      </c>
      <c r="Y46" s="104">
        <f t="shared" si="31"/>
        <v>0</v>
      </c>
      <c r="Z46" s="105">
        <f t="shared" si="31"/>
        <v>0</v>
      </c>
      <c r="AA46" s="105">
        <f t="shared" si="31"/>
        <v>0</v>
      </c>
      <c r="AB46" s="105">
        <f t="shared" si="31"/>
        <v>0</v>
      </c>
      <c r="AC46" s="105">
        <f t="shared" si="31"/>
        <v>0</v>
      </c>
      <c r="AD46" s="105">
        <f t="shared" si="31"/>
        <v>0</v>
      </c>
      <c r="AE46" s="105">
        <f t="shared" si="31"/>
        <v>0</v>
      </c>
      <c r="AF46" s="105">
        <f t="shared" si="31"/>
        <v>0</v>
      </c>
      <c r="AG46" s="105">
        <f t="shared" si="31"/>
        <v>0</v>
      </c>
      <c r="AH46" s="105">
        <f t="shared" si="31"/>
        <v>0</v>
      </c>
      <c r="AI46" s="105">
        <f t="shared" si="31"/>
        <v>0</v>
      </c>
      <c r="AK46" s="17">
        <f>IFERROR(F46/$F$28,"")</f>
        <v>-1.8484378758620694</v>
      </c>
      <c r="AL46" s="7">
        <f>IFERROR(ABS(F46/($F$37+$F$46+$F$57+$F$66)),"")</f>
        <v>0.88922115369576504</v>
      </c>
      <c r="AM46" s="28">
        <f>SUM(F46:Y46)</f>
        <v>-38595.382848000008</v>
      </c>
      <c r="AN46" s="64">
        <f>SUM(F46:AI46)</f>
        <v>-38595.382848000008</v>
      </c>
      <c r="AP46" s="10"/>
    </row>
    <row r="47" spans="2:42" ht="15" outlineLevel="1" thickTop="1" x14ac:dyDescent="0.3">
      <c r="B47" s="1" t="s">
        <v>134</v>
      </c>
      <c r="C47" s="2"/>
      <c r="D47" s="2"/>
      <c r="E47" s="28"/>
      <c r="F47" s="28">
        <f t="shared" ref="F47:AI47" si="32">-$AD$16*F72</f>
        <v>0</v>
      </c>
      <c r="G47" s="28">
        <f t="shared" si="32"/>
        <v>0</v>
      </c>
      <c r="H47" s="28">
        <f t="shared" si="32"/>
        <v>0</v>
      </c>
      <c r="I47" s="28">
        <f t="shared" si="32"/>
        <v>0</v>
      </c>
      <c r="J47" s="28">
        <f t="shared" si="32"/>
        <v>0</v>
      </c>
      <c r="K47" s="28">
        <f t="shared" si="32"/>
        <v>0</v>
      </c>
      <c r="L47" s="28">
        <f t="shared" si="32"/>
        <v>0</v>
      </c>
      <c r="M47" s="28">
        <f t="shared" si="32"/>
        <v>0</v>
      </c>
      <c r="N47" s="28">
        <f t="shared" si="32"/>
        <v>0</v>
      </c>
      <c r="O47" s="28">
        <f t="shared" si="32"/>
        <v>0</v>
      </c>
      <c r="P47" s="28">
        <f t="shared" si="32"/>
        <v>0</v>
      </c>
      <c r="Q47" s="28">
        <f t="shared" si="32"/>
        <v>0</v>
      </c>
      <c r="R47" s="28">
        <f t="shared" si="32"/>
        <v>0</v>
      </c>
      <c r="S47" s="28">
        <f t="shared" si="32"/>
        <v>0</v>
      </c>
      <c r="T47" s="28">
        <f t="shared" si="32"/>
        <v>0</v>
      </c>
      <c r="U47" s="28">
        <f t="shared" si="32"/>
        <v>0</v>
      </c>
      <c r="V47" s="28">
        <f t="shared" si="32"/>
        <v>0</v>
      </c>
      <c r="W47" s="28">
        <f t="shared" si="32"/>
        <v>0</v>
      </c>
      <c r="X47" s="28">
        <f t="shared" si="32"/>
        <v>0</v>
      </c>
      <c r="Y47" s="28">
        <f t="shared" si="32"/>
        <v>0</v>
      </c>
      <c r="Z47" s="64">
        <f t="shared" si="32"/>
        <v>0</v>
      </c>
      <c r="AA47" s="64">
        <f t="shared" si="32"/>
        <v>0</v>
      </c>
      <c r="AB47" s="64">
        <f t="shared" si="32"/>
        <v>0</v>
      </c>
      <c r="AC47" s="64">
        <f t="shared" si="32"/>
        <v>0</v>
      </c>
      <c r="AD47" s="64">
        <f t="shared" si="32"/>
        <v>0</v>
      </c>
      <c r="AE47" s="64">
        <f t="shared" si="32"/>
        <v>0</v>
      </c>
      <c r="AF47" s="64">
        <f t="shared" si="32"/>
        <v>0</v>
      </c>
      <c r="AG47" s="64">
        <f t="shared" si="32"/>
        <v>0</v>
      </c>
      <c r="AH47" s="64">
        <f t="shared" si="32"/>
        <v>0</v>
      </c>
      <c r="AI47" s="64">
        <f t="shared" si="32"/>
        <v>0</v>
      </c>
      <c r="AK47" s="17">
        <f>IFERROR(F47/$F$28,"")</f>
        <v>0</v>
      </c>
      <c r="AL47" s="7">
        <f>IFERROR(ABS(F47/($F$37+$F$46+$F$57+$F$66)),"")</f>
        <v>0</v>
      </c>
      <c r="AM47" s="28">
        <f>SUM(F47:Y47)</f>
        <v>0</v>
      </c>
      <c r="AN47" s="64">
        <f>SUM(F47:AI47)</f>
        <v>0</v>
      </c>
      <c r="AP47" s="10"/>
    </row>
    <row r="48" spans="2:42" ht="15" thickBot="1" x14ac:dyDescent="0.35">
      <c r="B48" s="98"/>
      <c r="C48" s="103"/>
      <c r="D48" s="103"/>
      <c r="E48" s="104"/>
      <c r="F48" s="104"/>
      <c r="G48" s="104"/>
      <c r="H48" s="104"/>
      <c r="I48" s="104"/>
      <c r="J48" s="104"/>
      <c r="K48" s="104"/>
      <c r="L48" s="104"/>
      <c r="M48" s="104"/>
      <c r="N48" s="104"/>
      <c r="O48" s="104"/>
      <c r="P48" s="104"/>
      <c r="Q48" s="104"/>
      <c r="R48" s="104"/>
      <c r="S48" s="104"/>
      <c r="T48" s="104"/>
      <c r="U48" s="104"/>
      <c r="V48" s="104"/>
      <c r="W48" s="104"/>
      <c r="X48" s="104"/>
      <c r="Y48" s="104"/>
      <c r="Z48" s="105"/>
      <c r="AA48" s="105"/>
      <c r="AB48" s="105"/>
      <c r="AC48" s="105"/>
      <c r="AD48" s="105"/>
      <c r="AE48" s="105"/>
      <c r="AF48" s="105"/>
      <c r="AG48" s="105"/>
      <c r="AH48" s="105"/>
      <c r="AI48" s="105"/>
      <c r="AK48" s="17"/>
      <c r="AL48" s="7"/>
      <c r="AM48" s="28"/>
      <c r="AN48" s="64"/>
      <c r="AP48" s="10"/>
    </row>
    <row r="49" spans="2:42" ht="15.6" thickTop="1" thickBot="1" x14ac:dyDescent="0.35">
      <c r="B49" s="99" t="s">
        <v>135</v>
      </c>
      <c r="C49" s="100"/>
      <c r="D49" s="100"/>
      <c r="E49" s="101"/>
      <c r="F49" s="101">
        <f>F43+F46+F47</f>
        <v>-6339.8304420000022</v>
      </c>
      <c r="G49" s="101">
        <f t="shared" ref="F49:W49" si="33">G43+G46+G47</f>
        <v>-6070.1772523800028</v>
      </c>
      <c r="H49" s="101">
        <f t="shared" si="33"/>
        <v>-5058.1380731760964</v>
      </c>
      <c r="I49" s="101">
        <f t="shared" si="33"/>
        <v>-4015.6455693705275</v>
      </c>
      <c r="J49" s="101">
        <f t="shared" si="33"/>
        <v>-2939.6231203773364</v>
      </c>
      <c r="K49" s="101">
        <f t="shared" si="33"/>
        <v>-1826.6863119211539</v>
      </c>
      <c r="L49" s="101">
        <f t="shared" si="33"/>
        <v>-673.11236760234578</v>
      </c>
      <c r="M49" s="101">
        <f t="shared" si="33"/>
        <v>525.19343804133405</v>
      </c>
      <c r="N49" s="101">
        <f t="shared" si="33"/>
        <v>1772.7346816154945</v>
      </c>
      <c r="O49" s="101">
        <f t="shared" si="33"/>
        <v>3074.4643337588791</v>
      </c>
      <c r="P49" s="101">
        <f t="shared" si="33"/>
        <v>4435.8293003657054</v>
      </c>
      <c r="Q49" s="101">
        <f t="shared" si="33"/>
        <v>5148.0900426246017</v>
      </c>
      <c r="R49" s="101">
        <f t="shared" si="33"/>
        <v>5932.5622667236021</v>
      </c>
      <c r="S49" s="101">
        <f t="shared" si="33"/>
        <v>6796.4880361711548</v>
      </c>
      <c r="T49" s="101">
        <f t="shared" si="33"/>
        <v>7747.8299458809215</v>
      </c>
      <c r="U49" s="101">
        <f t="shared" si="33"/>
        <v>8795.3423678601976</v>
      </c>
      <c r="V49" s="101">
        <f t="shared" si="33"/>
        <v>9948.6497059638677</v>
      </c>
      <c r="W49" s="101">
        <f t="shared" si="33"/>
        <v>11218.332346204788</v>
      </c>
      <c r="X49" s="101">
        <f t="shared" ref="X49:AI49" si="34">X43+X46+X47</f>
        <v>12616.021056071455</v>
      </c>
      <c r="Y49" s="101">
        <f t="shared" si="34"/>
        <v>14154.50065976819</v>
      </c>
      <c r="Z49" s="102">
        <f t="shared" si="34"/>
        <v>18329.522896891158</v>
      </c>
      <c r="AA49" s="102">
        <f t="shared" si="34"/>
        <v>20193.135460475372</v>
      </c>
      <c r="AB49" s="102">
        <f t="shared" si="34"/>
        <v>22244.01330734892</v>
      </c>
      <c r="AC49" s="102">
        <f t="shared" si="34"/>
        <v>24500.81344014089</v>
      </c>
      <c r="AD49" s="102">
        <f t="shared" si="34"/>
        <v>26984.039477016078</v>
      </c>
      <c r="AE49" s="102">
        <f t="shared" si="34"/>
        <v>29716.223453249939</v>
      </c>
      <c r="AF49" s="102">
        <f t="shared" si="34"/>
        <v>32722.125439201656</v>
      </c>
      <c r="AG49" s="102">
        <f t="shared" si="34"/>
        <v>36028.952713288818</v>
      </c>
      <c r="AH49" s="102">
        <f t="shared" si="34"/>
        <v>39666.600397525151</v>
      </c>
      <c r="AI49" s="102">
        <f t="shared" si="34"/>
        <v>43667.915648489143</v>
      </c>
      <c r="AK49" s="17">
        <f>IFERROR(F49/$F$28,"")</f>
        <v>-1.8217903568965523</v>
      </c>
      <c r="AL49" s="7">
        <f>IFERROR(ABS(F49/($F$37+$F$46+$F$57+$F$66)),"")</f>
        <v>0.87640193057386495</v>
      </c>
      <c r="AM49" s="28">
        <f>SUM(F49:Y49)</f>
        <v>65242.825044222714</v>
      </c>
      <c r="AN49" s="64">
        <f>SUM(F49:AI49)</f>
        <v>359296.16727784986</v>
      </c>
      <c r="AP49" s="10"/>
    </row>
    <row r="50" spans="2:42" ht="15" outlineLevel="1" thickTop="1" x14ac:dyDescent="0.3">
      <c r="C50" s="2"/>
      <c r="D50" s="2"/>
      <c r="E50" s="28"/>
      <c r="F50" s="28"/>
      <c r="G50" s="28"/>
      <c r="H50" s="28"/>
      <c r="I50" s="28"/>
      <c r="J50" s="28"/>
      <c r="K50" s="28"/>
      <c r="L50" s="28"/>
      <c r="M50" s="28"/>
      <c r="N50" s="28"/>
      <c r="O50" s="28"/>
      <c r="P50" s="28"/>
      <c r="Q50" s="28"/>
      <c r="R50" s="28"/>
      <c r="S50" s="28"/>
      <c r="T50" s="28"/>
      <c r="U50" s="28"/>
      <c r="V50" s="28"/>
      <c r="W50" s="28"/>
      <c r="X50" s="28"/>
      <c r="Y50" s="28"/>
      <c r="Z50" s="64"/>
      <c r="AA50" s="64"/>
      <c r="AB50" s="64"/>
      <c r="AC50" s="64"/>
      <c r="AD50" s="64"/>
      <c r="AE50" s="64"/>
      <c r="AF50" s="64"/>
      <c r="AG50" s="64"/>
      <c r="AH50" s="64"/>
      <c r="AI50" s="64"/>
      <c r="AK50" s="17"/>
      <c r="AL50" s="7"/>
      <c r="AM50" s="28"/>
      <c r="AN50" s="64"/>
      <c r="AP50" s="10"/>
    </row>
    <row r="51" spans="2:42" outlineLevel="1" x14ac:dyDescent="0.3">
      <c r="B51" s="1" t="s">
        <v>144</v>
      </c>
      <c r="C51" s="2"/>
      <c r="D51" s="2"/>
      <c r="E51" s="28"/>
      <c r="F51" s="28"/>
      <c r="G51" s="28"/>
      <c r="H51" s="28"/>
      <c r="I51" s="28"/>
      <c r="J51" s="28"/>
      <c r="K51" s="28"/>
      <c r="L51" s="28"/>
      <c r="M51" s="28"/>
      <c r="N51" s="28"/>
      <c r="O51" s="28"/>
      <c r="P51" s="28"/>
      <c r="Q51" s="28"/>
      <c r="R51" s="28"/>
      <c r="S51" s="28"/>
      <c r="T51" s="28"/>
      <c r="U51" s="28"/>
      <c r="V51" s="28"/>
      <c r="W51" s="28"/>
      <c r="X51" s="28"/>
      <c r="Y51" s="28"/>
      <c r="Z51" s="64"/>
      <c r="AA51" s="64"/>
      <c r="AB51" s="64"/>
      <c r="AC51" s="64"/>
      <c r="AD51" s="64"/>
      <c r="AE51" s="64"/>
      <c r="AF51" s="64"/>
      <c r="AG51" s="64"/>
      <c r="AH51" s="64"/>
      <c r="AI51" s="64"/>
      <c r="AK51" s="17"/>
      <c r="AL51" s="7"/>
      <c r="AM51" s="28"/>
      <c r="AN51" s="64"/>
      <c r="AP51" s="10"/>
    </row>
    <row r="52" spans="2:42" outlineLevel="1" x14ac:dyDescent="0.3">
      <c r="B52" s="48" t="s">
        <v>145</v>
      </c>
      <c r="C52" s="2"/>
      <c r="D52" s="2"/>
      <c r="E52" s="28"/>
      <c r="F52" s="28">
        <f>-$AI$6*F43</f>
        <v>0</v>
      </c>
      <c r="G52" s="28">
        <f t="shared" ref="G52:AI52" si="35">-$AI$6*G43</f>
        <v>0</v>
      </c>
      <c r="H52" s="28">
        <f t="shared" si="35"/>
        <v>0</v>
      </c>
      <c r="I52" s="28">
        <f t="shared" si="35"/>
        <v>0</v>
      </c>
      <c r="J52" s="28">
        <f t="shared" si="35"/>
        <v>0</v>
      </c>
      <c r="K52" s="28">
        <f t="shared" si="35"/>
        <v>0</v>
      </c>
      <c r="L52" s="28">
        <f t="shared" si="35"/>
        <v>0</v>
      </c>
      <c r="M52" s="28">
        <f t="shared" si="35"/>
        <v>0</v>
      </c>
      <c r="N52" s="28">
        <f t="shared" si="35"/>
        <v>0</v>
      </c>
      <c r="O52" s="28">
        <f t="shared" si="35"/>
        <v>0</v>
      </c>
      <c r="P52" s="28">
        <f t="shared" si="35"/>
        <v>0</v>
      </c>
      <c r="Q52" s="28">
        <f t="shared" si="35"/>
        <v>0</v>
      </c>
      <c r="R52" s="28">
        <f t="shared" si="35"/>
        <v>0</v>
      </c>
      <c r="S52" s="28">
        <f t="shared" si="35"/>
        <v>0</v>
      </c>
      <c r="T52" s="28">
        <f t="shared" si="35"/>
        <v>0</v>
      </c>
      <c r="U52" s="28">
        <f t="shared" si="35"/>
        <v>0</v>
      </c>
      <c r="V52" s="28">
        <f t="shared" si="35"/>
        <v>0</v>
      </c>
      <c r="W52" s="28">
        <f t="shared" si="35"/>
        <v>0</v>
      </c>
      <c r="X52" s="28">
        <f t="shared" si="35"/>
        <v>0</v>
      </c>
      <c r="Y52" s="28">
        <f t="shared" si="35"/>
        <v>0</v>
      </c>
      <c r="Z52" s="64">
        <f t="shared" si="35"/>
        <v>0</v>
      </c>
      <c r="AA52" s="64">
        <f t="shared" si="35"/>
        <v>0</v>
      </c>
      <c r="AB52" s="64">
        <f t="shared" si="35"/>
        <v>0</v>
      </c>
      <c r="AC52" s="64">
        <f t="shared" si="35"/>
        <v>0</v>
      </c>
      <c r="AD52" s="64">
        <f t="shared" si="35"/>
        <v>0</v>
      </c>
      <c r="AE52" s="64">
        <f t="shared" si="35"/>
        <v>0</v>
      </c>
      <c r="AF52" s="64">
        <f t="shared" si="35"/>
        <v>0</v>
      </c>
      <c r="AG52" s="64">
        <f t="shared" si="35"/>
        <v>0</v>
      </c>
      <c r="AH52" s="64">
        <f t="shared" si="35"/>
        <v>0</v>
      </c>
      <c r="AI52" s="64">
        <f t="shared" si="35"/>
        <v>0</v>
      </c>
      <c r="AK52" s="17"/>
      <c r="AL52" s="7"/>
      <c r="AM52" s="28"/>
      <c r="AN52" s="64"/>
      <c r="AP52" s="10"/>
    </row>
    <row r="53" spans="2:42" outlineLevel="1" x14ac:dyDescent="0.3">
      <c r="B53" s="1" t="s">
        <v>146</v>
      </c>
      <c r="C53" s="2"/>
      <c r="D53" s="2"/>
      <c r="E53" s="28"/>
      <c r="F53" s="28"/>
      <c r="G53" s="28"/>
      <c r="H53" s="28"/>
      <c r="I53" s="28"/>
      <c r="J53" s="28"/>
      <c r="K53" s="28"/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/>
      <c r="X53" s="28"/>
      <c r="Y53" s="28"/>
      <c r="Z53" s="64"/>
      <c r="AA53" s="64"/>
      <c r="AB53" s="64"/>
      <c r="AC53" s="64"/>
      <c r="AD53" s="64"/>
      <c r="AE53" s="64"/>
      <c r="AF53" s="64"/>
      <c r="AG53" s="64"/>
      <c r="AH53" s="64"/>
      <c r="AI53" s="64"/>
      <c r="AK53" s="17"/>
      <c r="AL53" s="7"/>
      <c r="AM53" s="28"/>
      <c r="AN53" s="64"/>
      <c r="AP53" s="10"/>
    </row>
    <row r="54" spans="2:42" outlineLevel="1" x14ac:dyDescent="0.3">
      <c r="B54" s="48" t="s">
        <v>44</v>
      </c>
      <c r="C54" s="2" t="s">
        <v>114</v>
      </c>
      <c r="D54" s="2"/>
      <c r="E54" s="7">
        <v>0.22</v>
      </c>
      <c r="F54" s="28">
        <f>-MIN($E$54*F40,-(F46+F47))</f>
        <v>-566.37512052</v>
      </c>
      <c r="G54" s="28">
        <f t="shared" ref="G54:AI54" si="36">-MIN($E$54*G40,-(G46+G47))</f>
        <v>-625.69882223639991</v>
      </c>
      <c r="H54" s="28">
        <f t="shared" si="36"/>
        <v>-691.10699302125931</v>
      </c>
      <c r="I54" s="28">
        <f t="shared" si="36"/>
        <v>-763.21489521848423</v>
      </c>
      <c r="J54" s="28">
        <f t="shared" si="36"/>
        <v>-842.69938535698645</v>
      </c>
      <c r="K54" s="28">
        <f t="shared" si="36"/>
        <v>-930.30503457734653</v>
      </c>
      <c r="L54" s="28">
        <f t="shared" si="36"/>
        <v>-1026.8508536874842</v>
      </c>
      <c r="M54" s="28">
        <f t="shared" si="36"/>
        <v>-1133.237682289094</v>
      </c>
      <c r="N54" s="28">
        <f t="shared" si="36"/>
        <v>-1250.4563072354092</v>
      </c>
      <c r="O54" s="28">
        <f t="shared" si="36"/>
        <v>-714.72931200000096</v>
      </c>
      <c r="P54" s="28">
        <f t="shared" si="36"/>
        <v>0</v>
      </c>
      <c r="Q54" s="28">
        <f t="shared" si="36"/>
        <v>0</v>
      </c>
      <c r="R54" s="28">
        <f t="shared" si="36"/>
        <v>0</v>
      </c>
      <c r="S54" s="28">
        <f t="shared" si="36"/>
        <v>0</v>
      </c>
      <c r="T54" s="28">
        <f t="shared" si="36"/>
        <v>0</v>
      </c>
      <c r="U54" s="28">
        <f t="shared" si="36"/>
        <v>0</v>
      </c>
      <c r="V54" s="28">
        <f t="shared" si="36"/>
        <v>0</v>
      </c>
      <c r="W54" s="28">
        <f t="shared" si="36"/>
        <v>0</v>
      </c>
      <c r="X54" s="28">
        <f t="shared" si="36"/>
        <v>0</v>
      </c>
      <c r="Y54" s="28">
        <f t="shared" si="36"/>
        <v>0</v>
      </c>
      <c r="Z54" s="64">
        <f t="shared" si="36"/>
        <v>0</v>
      </c>
      <c r="AA54" s="64">
        <f t="shared" si="36"/>
        <v>0</v>
      </c>
      <c r="AB54" s="64">
        <f t="shared" si="36"/>
        <v>0</v>
      </c>
      <c r="AC54" s="64">
        <f t="shared" si="36"/>
        <v>0</v>
      </c>
      <c r="AD54" s="64">
        <f t="shared" si="36"/>
        <v>0</v>
      </c>
      <c r="AE54" s="64">
        <f t="shared" si="36"/>
        <v>0</v>
      </c>
      <c r="AF54" s="64">
        <f t="shared" si="36"/>
        <v>0</v>
      </c>
      <c r="AG54" s="64">
        <f t="shared" si="36"/>
        <v>0</v>
      </c>
      <c r="AH54" s="64">
        <f t="shared" si="36"/>
        <v>0</v>
      </c>
      <c r="AI54" s="64">
        <f t="shared" si="36"/>
        <v>0</v>
      </c>
      <c r="AK54" s="17"/>
      <c r="AL54" s="7"/>
      <c r="AM54" s="28"/>
      <c r="AN54" s="64"/>
      <c r="AP54" s="10"/>
    </row>
    <row r="55" spans="2:42" outlineLevel="1" x14ac:dyDescent="0.3">
      <c r="B55" s="48" t="s">
        <v>34</v>
      </c>
      <c r="C55" s="2" t="s">
        <v>114</v>
      </c>
      <c r="D55" s="2"/>
      <c r="E55" s="7"/>
      <c r="F55" s="28">
        <f>F43+F54</f>
        <v>-473.64175452000052</v>
      </c>
      <c r="G55" s="28">
        <f t="shared" ref="G55:AI55" si="37">G43+G54</f>
        <v>-263.31226661640096</v>
      </c>
      <c r="H55" s="28">
        <f t="shared" si="37"/>
        <v>-31.410570197353991</v>
      </c>
      <c r="I55" s="28">
        <f t="shared" si="37"/>
        <v>224.24471941098921</v>
      </c>
      <c r="J55" s="28">
        <f t="shared" si="37"/>
        <v>506.05336626567862</v>
      </c>
      <c r="K55" s="28">
        <f t="shared" si="37"/>
        <v>816.65521350150061</v>
      </c>
      <c r="L55" s="28">
        <f t="shared" si="37"/>
        <v>1158.9540267101711</v>
      </c>
      <c r="M55" s="28">
        <f t="shared" si="37"/>
        <v>1536.1436917522412</v>
      </c>
      <c r="N55" s="28">
        <f t="shared" si="37"/>
        <v>1951.7369983800866</v>
      </c>
      <c r="O55" s="28">
        <f t="shared" si="37"/>
        <v>3074.4643337588791</v>
      </c>
      <c r="P55" s="28">
        <f t="shared" si="37"/>
        <v>4435.8293003657054</v>
      </c>
      <c r="Q55" s="28">
        <f t="shared" si="37"/>
        <v>5148.0900426246017</v>
      </c>
      <c r="R55" s="28">
        <f t="shared" si="37"/>
        <v>5932.5622667236021</v>
      </c>
      <c r="S55" s="28">
        <f t="shared" si="37"/>
        <v>6796.4880361711548</v>
      </c>
      <c r="T55" s="28">
        <f t="shared" si="37"/>
        <v>7747.8299458809215</v>
      </c>
      <c r="U55" s="28">
        <f t="shared" si="37"/>
        <v>8795.3423678601976</v>
      </c>
      <c r="V55" s="28">
        <f t="shared" si="37"/>
        <v>9948.6497059638677</v>
      </c>
      <c r="W55" s="28">
        <f t="shared" si="37"/>
        <v>11218.332346204788</v>
      </c>
      <c r="X55" s="28">
        <f t="shared" si="37"/>
        <v>12616.021056071455</v>
      </c>
      <c r="Y55" s="28">
        <f t="shared" si="37"/>
        <v>14154.50065976819</v>
      </c>
      <c r="Z55" s="64">
        <f t="shared" si="37"/>
        <v>18329.522896891158</v>
      </c>
      <c r="AA55" s="64">
        <f t="shared" si="37"/>
        <v>20193.135460475372</v>
      </c>
      <c r="AB55" s="64">
        <f t="shared" si="37"/>
        <v>22244.01330734892</v>
      </c>
      <c r="AC55" s="64">
        <f t="shared" si="37"/>
        <v>24500.81344014089</v>
      </c>
      <c r="AD55" s="64">
        <f t="shared" si="37"/>
        <v>26984.039477016078</v>
      </c>
      <c r="AE55" s="64">
        <f t="shared" si="37"/>
        <v>29716.223453249939</v>
      </c>
      <c r="AF55" s="64">
        <f t="shared" si="37"/>
        <v>32722.125439201656</v>
      </c>
      <c r="AG55" s="64">
        <f t="shared" si="37"/>
        <v>36028.952713288818</v>
      </c>
      <c r="AH55" s="64">
        <f t="shared" si="37"/>
        <v>39666.600397525151</v>
      </c>
      <c r="AI55" s="64">
        <f t="shared" si="37"/>
        <v>43667.915648489143</v>
      </c>
      <c r="AK55" s="17"/>
      <c r="AL55" s="7"/>
      <c r="AM55" s="28"/>
      <c r="AN55" s="64"/>
      <c r="AP55" s="10"/>
    </row>
    <row r="56" spans="2:42" outlineLevel="1" x14ac:dyDescent="0.3">
      <c r="B56" s="48" t="s">
        <v>35</v>
      </c>
      <c r="C56" s="2" t="s">
        <v>114</v>
      </c>
      <c r="D56" s="2"/>
      <c r="E56" s="28"/>
      <c r="F56" s="28">
        <f>-$AI$5*F55</f>
        <v>104.20118599440012</v>
      </c>
      <c r="G56" s="28">
        <f t="shared" ref="G56:AI56" si="38">-$AI$5*G55</f>
        <v>57.928698655608208</v>
      </c>
      <c r="H56" s="28">
        <f t="shared" si="38"/>
        <v>6.9103254434178778</v>
      </c>
      <c r="I56" s="28">
        <f t="shared" si="38"/>
        <v>-49.333838270417623</v>
      </c>
      <c r="J56" s="28">
        <f t="shared" si="38"/>
        <v>-111.3317405784493</v>
      </c>
      <c r="K56" s="28">
        <f t="shared" si="38"/>
        <v>-179.66414697033014</v>
      </c>
      <c r="L56" s="28">
        <f t="shared" si="38"/>
        <v>-254.96988587623764</v>
      </c>
      <c r="M56" s="28">
        <f t="shared" si="38"/>
        <v>-337.95161218549305</v>
      </c>
      <c r="N56" s="28">
        <f t="shared" si="38"/>
        <v>-429.38213964361904</v>
      </c>
      <c r="O56" s="28">
        <f t="shared" si="38"/>
        <v>-676.38215342695344</v>
      </c>
      <c r="P56" s="28">
        <f t="shared" si="38"/>
        <v>-975.88244608045522</v>
      </c>
      <c r="Q56" s="28">
        <f t="shared" si="38"/>
        <v>-1132.5798093774124</v>
      </c>
      <c r="R56" s="28">
        <f t="shared" si="38"/>
        <v>-1305.1636986791925</v>
      </c>
      <c r="S56" s="28">
        <f t="shared" si="38"/>
        <v>-1495.227367957654</v>
      </c>
      <c r="T56" s="28">
        <f t="shared" si="38"/>
        <v>-1704.5225880938028</v>
      </c>
      <c r="U56" s="28">
        <f t="shared" si="38"/>
        <v>-1934.9753209292435</v>
      </c>
      <c r="V56" s="28">
        <f t="shared" si="38"/>
        <v>-2188.7029353120511</v>
      </c>
      <c r="W56" s="28">
        <f t="shared" si="38"/>
        <v>-2468.0331161650533</v>
      </c>
      <c r="X56" s="28">
        <f t="shared" si="38"/>
        <v>-2775.5246323357201</v>
      </c>
      <c r="Y56" s="28">
        <f t="shared" si="38"/>
        <v>-3113.9901451490018</v>
      </c>
      <c r="Z56" s="64">
        <f t="shared" si="38"/>
        <v>-4032.4950373160545</v>
      </c>
      <c r="AA56" s="64">
        <f t="shared" si="38"/>
        <v>-4442.4898013045822</v>
      </c>
      <c r="AB56" s="64">
        <f t="shared" si="38"/>
        <v>-4893.6829276167628</v>
      </c>
      <c r="AC56" s="64">
        <f t="shared" si="38"/>
        <v>-5390.178956830996</v>
      </c>
      <c r="AD56" s="64">
        <f t="shared" si="38"/>
        <v>-5936.488684943537</v>
      </c>
      <c r="AE56" s="64">
        <f t="shared" si="38"/>
        <v>-6537.5691597149862</v>
      </c>
      <c r="AF56" s="64">
        <f t="shared" si="38"/>
        <v>-7198.8675966243645</v>
      </c>
      <c r="AG56" s="64">
        <f t="shared" si="38"/>
        <v>-7926.3695969235396</v>
      </c>
      <c r="AH56" s="64">
        <f t="shared" si="38"/>
        <v>-8726.6520874555335</v>
      </c>
      <c r="AI56" s="64">
        <f t="shared" si="38"/>
        <v>-9606.9414426676121</v>
      </c>
      <c r="AK56" s="17"/>
      <c r="AL56" s="7"/>
      <c r="AM56" s="28"/>
      <c r="AN56" s="64"/>
      <c r="AP56" s="10"/>
    </row>
    <row r="57" spans="2:42" x14ac:dyDescent="0.3">
      <c r="B57" s="1" t="s">
        <v>120</v>
      </c>
      <c r="C57" s="2" t="s">
        <v>114</v>
      </c>
      <c r="D57" s="2"/>
      <c r="E57" s="28"/>
      <c r="F57" s="28">
        <f>F52+F56</f>
        <v>104.20118599440012</v>
      </c>
      <c r="G57" s="28">
        <f t="shared" ref="G57:AI57" si="39">G52+G56</f>
        <v>57.928698655608208</v>
      </c>
      <c r="H57" s="28">
        <f t="shared" si="39"/>
        <v>6.9103254434178778</v>
      </c>
      <c r="I57" s="28">
        <f t="shared" si="39"/>
        <v>-49.333838270417623</v>
      </c>
      <c r="J57" s="28">
        <f t="shared" si="39"/>
        <v>-111.3317405784493</v>
      </c>
      <c r="K57" s="28">
        <f t="shared" si="39"/>
        <v>-179.66414697033014</v>
      </c>
      <c r="L57" s="28">
        <f t="shared" si="39"/>
        <v>-254.96988587623764</v>
      </c>
      <c r="M57" s="28">
        <f t="shared" si="39"/>
        <v>-337.95161218549305</v>
      </c>
      <c r="N57" s="28">
        <f t="shared" si="39"/>
        <v>-429.38213964361904</v>
      </c>
      <c r="O57" s="28">
        <f t="shared" si="39"/>
        <v>-676.38215342695344</v>
      </c>
      <c r="P57" s="28">
        <f t="shared" si="39"/>
        <v>-975.88244608045522</v>
      </c>
      <c r="Q57" s="28">
        <f t="shared" si="39"/>
        <v>-1132.5798093774124</v>
      </c>
      <c r="R57" s="28">
        <f t="shared" si="39"/>
        <v>-1305.1636986791925</v>
      </c>
      <c r="S57" s="28">
        <f t="shared" si="39"/>
        <v>-1495.227367957654</v>
      </c>
      <c r="T57" s="28">
        <f t="shared" si="39"/>
        <v>-1704.5225880938028</v>
      </c>
      <c r="U57" s="28">
        <f t="shared" si="39"/>
        <v>-1934.9753209292435</v>
      </c>
      <c r="V57" s="28">
        <f t="shared" si="39"/>
        <v>-2188.7029353120511</v>
      </c>
      <c r="W57" s="28">
        <f t="shared" si="39"/>
        <v>-2468.0331161650533</v>
      </c>
      <c r="X57" s="28">
        <f t="shared" si="39"/>
        <v>-2775.5246323357201</v>
      </c>
      <c r="Y57" s="28">
        <f t="shared" si="39"/>
        <v>-3113.9901451490018</v>
      </c>
      <c r="Z57" s="64">
        <f t="shared" si="39"/>
        <v>-4032.4950373160545</v>
      </c>
      <c r="AA57" s="64">
        <f t="shared" si="39"/>
        <v>-4442.4898013045822</v>
      </c>
      <c r="AB57" s="64">
        <f t="shared" si="39"/>
        <v>-4893.6829276167628</v>
      </c>
      <c r="AC57" s="64">
        <f t="shared" si="39"/>
        <v>-5390.178956830996</v>
      </c>
      <c r="AD57" s="64">
        <f t="shared" si="39"/>
        <v>-5936.488684943537</v>
      </c>
      <c r="AE57" s="64">
        <f t="shared" si="39"/>
        <v>-6537.5691597149862</v>
      </c>
      <c r="AF57" s="64">
        <f t="shared" si="39"/>
        <v>-7198.8675966243645</v>
      </c>
      <c r="AG57" s="64">
        <f t="shared" si="39"/>
        <v>-7926.3695969235396</v>
      </c>
      <c r="AH57" s="64">
        <f t="shared" si="39"/>
        <v>-8726.6520874555335</v>
      </c>
      <c r="AI57" s="64">
        <f t="shared" si="39"/>
        <v>-9606.9414426676121</v>
      </c>
      <c r="AK57" s="17">
        <f>IFERROR(F57/$F$28,"")</f>
        <v>2.9942869538620725E-2</v>
      </c>
      <c r="AL57" s="7">
        <f>IFERROR(ABS(F57/($F$37+$F$46+$F$57+$F$66)),"")</f>
        <v>1.4404505200736821E-2</v>
      </c>
      <c r="AM57" s="28">
        <f>SUM(F57:Y57)</f>
        <v>-20964.577366937658</v>
      </c>
      <c r="AN57" s="64">
        <f>SUM(F57:AI57)</f>
        <v>-85656.312658335621</v>
      </c>
      <c r="AP57" s="10"/>
    </row>
    <row r="58" spans="2:42" outlineLevel="1" x14ac:dyDescent="0.3">
      <c r="C58" s="2"/>
      <c r="D58" s="2"/>
      <c r="E58" s="28"/>
      <c r="F58" s="28"/>
      <c r="G58" s="28"/>
      <c r="H58" s="28"/>
      <c r="I58" s="28"/>
      <c r="J58" s="28"/>
      <c r="K58" s="28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  <c r="Y58" s="28"/>
      <c r="Z58" s="64"/>
      <c r="AA58" s="64"/>
      <c r="AB58" s="64"/>
      <c r="AC58" s="64"/>
      <c r="AD58" s="64"/>
      <c r="AE58" s="64"/>
      <c r="AF58" s="64"/>
      <c r="AG58" s="64"/>
      <c r="AH58" s="64"/>
      <c r="AI58" s="64"/>
      <c r="AK58" s="17"/>
      <c r="AL58" s="7"/>
      <c r="AM58" s="28"/>
      <c r="AN58" s="64"/>
      <c r="AP58" s="10"/>
    </row>
    <row r="59" spans="2:42" x14ac:dyDescent="0.3">
      <c r="B59" s="11" t="s">
        <v>143</v>
      </c>
      <c r="C59" s="16"/>
      <c r="D59" s="18"/>
      <c r="E59" s="29"/>
      <c r="F59" s="29">
        <f t="shared" ref="F59:AI59" si="40">F49+F57</f>
        <v>-6235.6292560056017</v>
      </c>
      <c r="G59" s="29">
        <f t="shared" si="40"/>
        <v>-6012.2485537243947</v>
      </c>
      <c r="H59" s="29">
        <f t="shared" si="40"/>
        <v>-5051.2277477326788</v>
      </c>
      <c r="I59" s="29">
        <f t="shared" si="40"/>
        <v>-4064.9794076409453</v>
      </c>
      <c r="J59" s="29">
        <f t="shared" si="40"/>
        <v>-3050.9548609557855</v>
      </c>
      <c r="K59" s="29">
        <f t="shared" si="40"/>
        <v>-2006.3504588914841</v>
      </c>
      <c r="L59" s="29">
        <f t="shared" si="40"/>
        <v>-928.08225347858343</v>
      </c>
      <c r="M59" s="29">
        <f t="shared" si="40"/>
        <v>187.241825855841</v>
      </c>
      <c r="N59" s="29">
        <f t="shared" si="40"/>
        <v>1343.3525419718756</v>
      </c>
      <c r="O59" s="29">
        <f t="shared" si="40"/>
        <v>2398.0821803319259</v>
      </c>
      <c r="P59" s="29">
        <f t="shared" si="40"/>
        <v>3459.9468542852501</v>
      </c>
      <c r="Q59" s="29">
        <f t="shared" si="40"/>
        <v>4015.5102332471893</v>
      </c>
      <c r="R59" s="29">
        <f t="shared" si="40"/>
        <v>4627.3985680444093</v>
      </c>
      <c r="S59" s="29">
        <f t="shared" si="40"/>
        <v>5301.260668213501</v>
      </c>
      <c r="T59" s="29">
        <f t="shared" si="40"/>
        <v>6043.3073577871182</v>
      </c>
      <c r="U59" s="29">
        <f t="shared" si="40"/>
        <v>6860.3670469309545</v>
      </c>
      <c r="V59" s="29">
        <f t="shared" si="40"/>
        <v>7759.9467706518171</v>
      </c>
      <c r="W59" s="29">
        <f t="shared" si="40"/>
        <v>8750.2992300397345</v>
      </c>
      <c r="X59" s="29">
        <f t="shared" si="40"/>
        <v>9840.4964237357344</v>
      </c>
      <c r="Y59" s="29">
        <f t="shared" si="40"/>
        <v>11040.510514619187</v>
      </c>
      <c r="Z59" s="66">
        <f t="shared" si="40"/>
        <v>14297.027859575104</v>
      </c>
      <c r="AA59" s="66">
        <f t="shared" si="40"/>
        <v>15750.64565917079</v>
      </c>
      <c r="AB59" s="66">
        <f t="shared" si="40"/>
        <v>17350.330379732157</v>
      </c>
      <c r="AC59" s="66">
        <f t="shared" si="40"/>
        <v>19110.634483309892</v>
      </c>
      <c r="AD59" s="66">
        <f t="shared" si="40"/>
        <v>21047.550792072543</v>
      </c>
      <c r="AE59" s="66">
        <f t="shared" si="40"/>
        <v>23178.654293534953</v>
      </c>
      <c r="AF59" s="66">
        <f t="shared" si="40"/>
        <v>25523.257842577292</v>
      </c>
      <c r="AG59" s="66">
        <f t="shared" si="40"/>
        <v>28102.583116365277</v>
      </c>
      <c r="AH59" s="66">
        <f t="shared" si="40"/>
        <v>30939.948310069616</v>
      </c>
      <c r="AI59" s="66">
        <f t="shared" si="40"/>
        <v>34060.974205821534</v>
      </c>
      <c r="AK59" s="24">
        <f>IFERROR(F59/$F$28,"")</f>
        <v>-1.7918474873579315</v>
      </c>
      <c r="AL59" s="23">
        <f>IFERROR(ABS(F59/($F$37+$F$46+$F$57+$F$66)),"")</f>
        <v>0.86199742537312807</v>
      </c>
      <c r="AM59" s="29">
        <f>SUM(F59:Y59)</f>
        <v>44278.247677285064</v>
      </c>
      <c r="AN59" s="66">
        <f>SUM(F59:AI59)</f>
        <v>273639.85461951426</v>
      </c>
      <c r="AP59" s="10"/>
    </row>
    <row r="60" spans="2:42" x14ac:dyDescent="0.3">
      <c r="C60" s="2"/>
      <c r="D60" s="2"/>
      <c r="E60" s="28"/>
      <c r="F60" s="28"/>
      <c r="G60" s="28"/>
      <c r="H60" s="28"/>
      <c r="I60" s="28"/>
      <c r="J60" s="28"/>
      <c r="K60" s="28"/>
      <c r="L60" s="28"/>
      <c r="M60" s="28"/>
      <c r="N60" s="28"/>
      <c r="O60" s="28"/>
      <c r="P60" s="28"/>
      <c r="Q60" s="28"/>
      <c r="R60" s="28"/>
      <c r="S60" s="28"/>
      <c r="T60" s="28"/>
      <c r="U60" s="28"/>
      <c r="V60" s="28"/>
      <c r="W60" s="28"/>
      <c r="X60" s="28"/>
      <c r="Y60" s="28"/>
      <c r="Z60" s="64"/>
      <c r="AA60" s="64"/>
      <c r="AB60" s="64"/>
      <c r="AC60" s="64"/>
      <c r="AD60" s="64"/>
      <c r="AE60" s="64"/>
      <c r="AF60" s="64"/>
      <c r="AG60" s="64"/>
      <c r="AH60" s="64"/>
      <c r="AI60" s="64"/>
      <c r="AK60" s="17"/>
      <c r="AL60" s="7"/>
      <c r="AM60" s="28"/>
      <c r="AN60" s="64"/>
      <c r="AP60" s="10"/>
    </row>
    <row r="61" spans="2:42" x14ac:dyDescent="0.3">
      <c r="B61" s="11" t="s">
        <v>121</v>
      </c>
      <c r="C61" s="16" t="s">
        <v>114</v>
      </c>
      <c r="D61" s="18"/>
      <c r="E61" s="29"/>
      <c r="F61" s="29">
        <f>F40+F46+F47+F57</f>
        <v>-3753.9302560056017</v>
      </c>
      <c r="G61" s="29">
        <f t="shared" ref="G61:AI61" si="41">G40+G46+G47+G57</f>
        <v>-3530.5495537243942</v>
      </c>
      <c r="H61" s="29">
        <f>H40+H46+H47+H57</f>
        <v>-2569.5287477326774</v>
      </c>
      <c r="I61" s="29">
        <f t="shared" si="41"/>
        <v>-1583.2804076409445</v>
      </c>
      <c r="J61" s="29">
        <f t="shared" si="41"/>
        <v>-569.25586095578512</v>
      </c>
      <c r="K61" s="29">
        <f t="shared" si="41"/>
        <v>475.34854110851649</v>
      </c>
      <c r="L61" s="29">
        <f t="shared" si="41"/>
        <v>1553.6167465214171</v>
      </c>
      <c r="M61" s="29">
        <f t="shared" si="41"/>
        <v>2668.9408258558415</v>
      </c>
      <c r="N61" s="29">
        <f t="shared" si="41"/>
        <v>3825.0515419718763</v>
      </c>
      <c r="O61" s="29">
        <f t="shared" si="41"/>
        <v>4879.7811803319255</v>
      </c>
      <c r="P61" s="29">
        <f t="shared" si="41"/>
        <v>5941.6458542852506</v>
      </c>
      <c r="Q61" s="29">
        <f t="shared" si="41"/>
        <v>6497.2092332471893</v>
      </c>
      <c r="R61" s="29">
        <f t="shared" si="41"/>
        <v>7109.0975680444099</v>
      </c>
      <c r="S61" s="29">
        <f t="shared" si="41"/>
        <v>7782.9596682135016</v>
      </c>
      <c r="T61" s="29">
        <f t="shared" si="41"/>
        <v>8525.0063577871188</v>
      </c>
      <c r="U61" s="29">
        <f t="shared" si="41"/>
        <v>9342.0660469309551</v>
      </c>
      <c r="V61" s="29">
        <f t="shared" si="41"/>
        <v>10241.645770651818</v>
      </c>
      <c r="W61" s="29">
        <f t="shared" si="41"/>
        <v>11231.998230039735</v>
      </c>
      <c r="X61" s="29">
        <f t="shared" si="41"/>
        <v>12322.195423735735</v>
      </c>
      <c r="Y61" s="29">
        <f t="shared" si="41"/>
        <v>13522.209514619188</v>
      </c>
      <c r="Z61" s="66">
        <f t="shared" si="41"/>
        <v>14297.027859575104</v>
      </c>
      <c r="AA61" s="66">
        <f t="shared" si="41"/>
        <v>15750.64565917079</v>
      </c>
      <c r="AB61" s="66">
        <f t="shared" si="41"/>
        <v>17350.330379732157</v>
      </c>
      <c r="AC61" s="66">
        <f t="shared" si="41"/>
        <v>19110.634483309892</v>
      </c>
      <c r="AD61" s="66">
        <f t="shared" si="41"/>
        <v>21047.550792072543</v>
      </c>
      <c r="AE61" s="66">
        <f t="shared" si="41"/>
        <v>23178.654293534953</v>
      </c>
      <c r="AF61" s="66">
        <f t="shared" si="41"/>
        <v>25523.257842577292</v>
      </c>
      <c r="AG61" s="66">
        <f t="shared" si="41"/>
        <v>28102.583116365277</v>
      </c>
      <c r="AH61" s="66">
        <f t="shared" si="41"/>
        <v>30939.948310069616</v>
      </c>
      <c r="AI61" s="66">
        <f t="shared" si="41"/>
        <v>34060.974205821534</v>
      </c>
      <c r="AK61" s="24">
        <f>IFERROR(F61/$F$28,"")</f>
        <v>-1.0787155908062074</v>
      </c>
      <c r="AL61" s="23">
        <f>IFERROR(ABS(F61/($F$37+$F$46+$F$57+$F$66)),"")</f>
        <v>0.51893370866951516</v>
      </c>
      <c r="AM61" s="29">
        <f>SUM(F61:Y61)</f>
        <v>93912.227677285075</v>
      </c>
      <c r="AN61" s="66">
        <f>SUM(F61:AI61)</f>
        <v>323273.83461951424</v>
      </c>
      <c r="AP61" s="10"/>
    </row>
    <row r="62" spans="2:42" outlineLevel="1" x14ac:dyDescent="0.3">
      <c r="C62" s="2"/>
      <c r="D62" s="2"/>
      <c r="E62" s="28"/>
      <c r="F62" s="28"/>
      <c r="G62" s="28"/>
      <c r="H62" s="28"/>
      <c r="I62" s="28"/>
      <c r="J62" s="28"/>
      <c r="K62" s="28"/>
      <c r="L62" s="28"/>
      <c r="M62" s="28"/>
      <c r="N62" s="28"/>
      <c r="O62" s="28"/>
      <c r="P62" s="28"/>
      <c r="Q62" s="28"/>
      <c r="R62" s="28"/>
      <c r="S62" s="28"/>
      <c r="T62" s="28"/>
      <c r="U62" s="28"/>
      <c r="V62" s="28"/>
      <c r="W62" s="28"/>
      <c r="X62" s="28"/>
      <c r="Y62" s="28"/>
      <c r="Z62" s="64"/>
      <c r="AA62" s="64"/>
      <c r="AB62" s="64"/>
      <c r="AC62" s="64"/>
      <c r="AD62" s="64"/>
      <c r="AE62" s="64"/>
      <c r="AF62" s="64"/>
      <c r="AG62" s="64"/>
      <c r="AH62" s="64"/>
      <c r="AI62" s="64"/>
      <c r="AK62" s="17"/>
      <c r="AL62" s="7"/>
      <c r="AM62" s="28"/>
      <c r="AN62" s="64"/>
      <c r="AP62" s="10"/>
    </row>
    <row r="63" spans="2:42" outlineLevel="1" collapsed="1" x14ac:dyDescent="0.3">
      <c r="B63" s="1" t="s">
        <v>85</v>
      </c>
      <c r="C63" s="2" t="s">
        <v>114</v>
      </c>
      <c r="D63" s="2"/>
      <c r="E63" s="37"/>
      <c r="F63" s="36">
        <f t="shared" ref="F63:AI63" si="42">-$AI$14*(F28-E28+F37-E37)</f>
        <v>0</v>
      </c>
      <c r="G63" s="36">
        <f t="shared" si="42"/>
        <v>0</v>
      </c>
      <c r="H63" s="36">
        <f t="shared" si="42"/>
        <v>0</v>
      </c>
      <c r="I63" s="36">
        <f t="shared" si="42"/>
        <v>0</v>
      </c>
      <c r="J63" s="36">
        <f t="shared" si="42"/>
        <v>0</v>
      </c>
      <c r="K63" s="36">
        <f t="shared" si="42"/>
        <v>0</v>
      </c>
      <c r="L63" s="36">
        <f t="shared" si="42"/>
        <v>0</v>
      </c>
      <c r="M63" s="36">
        <f t="shared" si="42"/>
        <v>0</v>
      </c>
      <c r="N63" s="36">
        <f t="shared" si="42"/>
        <v>0</v>
      </c>
      <c r="O63" s="36">
        <f t="shared" si="42"/>
        <v>0</v>
      </c>
      <c r="P63" s="36">
        <f t="shared" si="42"/>
        <v>0</v>
      </c>
      <c r="Q63" s="36">
        <f t="shared" si="42"/>
        <v>0</v>
      </c>
      <c r="R63" s="36">
        <f t="shared" si="42"/>
        <v>0</v>
      </c>
      <c r="S63" s="36">
        <f t="shared" si="42"/>
        <v>0</v>
      </c>
      <c r="T63" s="36">
        <f t="shared" si="42"/>
        <v>0</v>
      </c>
      <c r="U63" s="36">
        <f t="shared" si="42"/>
        <v>0</v>
      </c>
      <c r="V63" s="36">
        <f t="shared" si="42"/>
        <v>0</v>
      </c>
      <c r="W63" s="36">
        <f t="shared" si="42"/>
        <v>0</v>
      </c>
      <c r="X63" s="36">
        <f t="shared" si="42"/>
        <v>0</v>
      </c>
      <c r="Y63" s="36">
        <f t="shared" si="42"/>
        <v>0</v>
      </c>
      <c r="Z63" s="64">
        <f t="shared" si="42"/>
        <v>0</v>
      </c>
      <c r="AA63" s="64">
        <f t="shared" si="42"/>
        <v>0</v>
      </c>
      <c r="AB63" s="64">
        <f t="shared" si="42"/>
        <v>0</v>
      </c>
      <c r="AC63" s="64">
        <f t="shared" si="42"/>
        <v>0</v>
      </c>
      <c r="AD63" s="64">
        <f t="shared" si="42"/>
        <v>0</v>
      </c>
      <c r="AE63" s="64">
        <f t="shared" si="42"/>
        <v>0</v>
      </c>
      <c r="AF63" s="64">
        <f t="shared" si="42"/>
        <v>0</v>
      </c>
      <c r="AG63" s="64">
        <f t="shared" si="42"/>
        <v>0</v>
      </c>
      <c r="AH63" s="64">
        <f t="shared" si="42"/>
        <v>0</v>
      </c>
      <c r="AI63" s="64">
        <f t="shared" si="42"/>
        <v>0</v>
      </c>
      <c r="AK63" s="17"/>
      <c r="AL63" s="7"/>
      <c r="AM63" s="28"/>
      <c r="AN63" s="64"/>
      <c r="AP63" s="10"/>
    </row>
    <row r="64" spans="2:42" outlineLevel="1" x14ac:dyDescent="0.3">
      <c r="C64" s="2"/>
      <c r="D64" s="2"/>
      <c r="E64" s="28"/>
      <c r="F64" s="28"/>
      <c r="G64" s="28"/>
      <c r="H64" s="28"/>
      <c r="I64" s="28"/>
      <c r="J64" s="28"/>
      <c r="K64" s="28"/>
      <c r="L64" s="28"/>
      <c r="M64" s="28"/>
      <c r="N64" s="28"/>
      <c r="O64" s="28"/>
      <c r="P64" s="28"/>
      <c r="Q64" s="28"/>
      <c r="R64" s="28"/>
      <c r="S64" s="28"/>
      <c r="T64" s="28"/>
      <c r="U64" s="28"/>
      <c r="V64" s="28"/>
      <c r="W64" s="28"/>
      <c r="X64" s="28"/>
      <c r="Y64" s="28"/>
      <c r="Z64" s="64"/>
      <c r="AA64" s="64"/>
      <c r="AB64" s="64"/>
      <c r="AC64" s="64"/>
      <c r="AD64" s="64"/>
      <c r="AE64" s="64"/>
      <c r="AF64" s="64"/>
      <c r="AG64" s="64"/>
      <c r="AH64" s="64"/>
      <c r="AI64" s="64"/>
      <c r="AK64" s="17"/>
      <c r="AL64" s="7"/>
      <c r="AM64" s="28"/>
      <c r="AN64" s="64"/>
      <c r="AP64" s="10"/>
    </row>
    <row r="65" spans="2:42" outlineLevel="1" x14ac:dyDescent="0.3">
      <c r="B65" s="1" t="s">
        <v>136</v>
      </c>
      <c r="C65" s="2" t="s">
        <v>114</v>
      </c>
      <c r="D65" s="2"/>
      <c r="E65" s="28"/>
      <c r="F65" s="28">
        <f>E67</f>
        <v>39707.184000000008</v>
      </c>
      <c r="G65" s="28">
        <f t="shared" ref="G65:W65" si="43">F67</f>
        <v>39707.184000000008</v>
      </c>
      <c r="H65" s="28">
        <f t="shared" si="43"/>
        <v>35295.274666666672</v>
      </c>
      <c r="I65" s="28">
        <f t="shared" si="43"/>
        <v>30883.365333333339</v>
      </c>
      <c r="J65" s="28">
        <f t="shared" si="43"/>
        <v>26471.456000000006</v>
      </c>
      <c r="K65" s="28">
        <f t="shared" si="43"/>
        <v>22059.546666666673</v>
      </c>
      <c r="L65" s="28">
        <f t="shared" si="43"/>
        <v>17647.637333333339</v>
      </c>
      <c r="M65" s="28">
        <f t="shared" si="43"/>
        <v>13235.728000000006</v>
      </c>
      <c r="N65" s="28">
        <f t="shared" si="43"/>
        <v>8823.8186666666734</v>
      </c>
      <c r="O65" s="28">
        <f t="shared" si="43"/>
        <v>4411.9093333333394</v>
      </c>
      <c r="P65" s="28">
        <f t="shared" si="43"/>
        <v>0</v>
      </c>
      <c r="Q65" s="28">
        <f t="shared" si="43"/>
        <v>0</v>
      </c>
      <c r="R65" s="28">
        <f t="shared" si="43"/>
        <v>0</v>
      </c>
      <c r="S65" s="28">
        <f t="shared" si="43"/>
        <v>0</v>
      </c>
      <c r="T65" s="28">
        <f t="shared" si="43"/>
        <v>0</v>
      </c>
      <c r="U65" s="28">
        <f t="shared" si="43"/>
        <v>0</v>
      </c>
      <c r="V65" s="28">
        <f t="shared" si="43"/>
        <v>0</v>
      </c>
      <c r="W65" s="28">
        <f t="shared" si="43"/>
        <v>0</v>
      </c>
      <c r="X65" s="28">
        <f t="shared" ref="X65:AI65" si="44">W67</f>
        <v>0</v>
      </c>
      <c r="Y65" s="28">
        <f t="shared" si="44"/>
        <v>0</v>
      </c>
      <c r="Z65" s="64">
        <f t="shared" si="44"/>
        <v>0</v>
      </c>
      <c r="AA65" s="64">
        <f t="shared" si="44"/>
        <v>0</v>
      </c>
      <c r="AB65" s="64">
        <f t="shared" si="44"/>
        <v>0</v>
      </c>
      <c r="AC65" s="64">
        <f t="shared" si="44"/>
        <v>0</v>
      </c>
      <c r="AD65" s="64">
        <f t="shared" si="44"/>
        <v>0</v>
      </c>
      <c r="AE65" s="64">
        <f t="shared" si="44"/>
        <v>0</v>
      </c>
      <c r="AF65" s="64">
        <f t="shared" si="44"/>
        <v>0</v>
      </c>
      <c r="AG65" s="64">
        <f t="shared" si="44"/>
        <v>0</v>
      </c>
      <c r="AH65" s="64">
        <f t="shared" si="44"/>
        <v>0</v>
      </c>
      <c r="AI65" s="64">
        <f t="shared" si="44"/>
        <v>0</v>
      </c>
      <c r="AK65" s="17"/>
      <c r="AL65" s="7"/>
      <c r="AM65" s="28"/>
      <c r="AN65" s="64"/>
      <c r="AP65" s="10"/>
    </row>
    <row r="66" spans="2:42" x14ac:dyDescent="0.3">
      <c r="B66" s="1" t="s">
        <v>122</v>
      </c>
      <c r="C66" s="2" t="s">
        <v>114</v>
      </c>
      <c r="D66" s="2"/>
      <c r="E66" s="28"/>
      <c r="F66" s="28">
        <f t="shared" ref="F66:AI66" si="45">-MIN(F65,IF(F22&lt;INT($AD$11)+1,0,IF(F22&lt;$AD$11+1,$AD$11-INT($AD$11),IF(AND(F22&gt;=$AD$11,F22&lt;=$AD$10+1),1,0)))*$AD$8/($AD$10-$AD$11))</f>
        <v>0</v>
      </c>
      <c r="G66" s="28">
        <f t="shared" si="45"/>
        <v>-4411.909333333334</v>
      </c>
      <c r="H66" s="28">
        <f t="shared" si="45"/>
        <v>-4411.909333333334</v>
      </c>
      <c r="I66" s="28">
        <f t="shared" si="45"/>
        <v>-4411.909333333334</v>
      </c>
      <c r="J66" s="28">
        <f t="shared" si="45"/>
        <v>-4411.909333333334</v>
      </c>
      <c r="K66" s="28">
        <f t="shared" si="45"/>
        <v>-4411.909333333334</v>
      </c>
      <c r="L66" s="28">
        <f t="shared" si="45"/>
        <v>-4411.909333333334</v>
      </c>
      <c r="M66" s="28">
        <f t="shared" si="45"/>
        <v>-4411.909333333334</v>
      </c>
      <c r="N66" s="28">
        <f t="shared" si="45"/>
        <v>-4411.909333333334</v>
      </c>
      <c r="O66" s="28">
        <f t="shared" si="45"/>
        <v>-4411.909333333334</v>
      </c>
      <c r="P66" s="28">
        <f t="shared" si="45"/>
        <v>0</v>
      </c>
      <c r="Q66" s="28">
        <f t="shared" si="45"/>
        <v>0</v>
      </c>
      <c r="R66" s="28">
        <f t="shared" si="45"/>
        <v>0</v>
      </c>
      <c r="S66" s="28">
        <f t="shared" si="45"/>
        <v>0</v>
      </c>
      <c r="T66" s="28">
        <f t="shared" si="45"/>
        <v>0</v>
      </c>
      <c r="U66" s="28">
        <f t="shared" si="45"/>
        <v>0</v>
      </c>
      <c r="V66" s="28">
        <f t="shared" si="45"/>
        <v>0</v>
      </c>
      <c r="W66" s="28">
        <f t="shared" si="45"/>
        <v>0</v>
      </c>
      <c r="X66" s="28">
        <f t="shared" si="45"/>
        <v>0</v>
      </c>
      <c r="Y66" s="28">
        <f t="shared" si="45"/>
        <v>0</v>
      </c>
      <c r="Z66" s="64">
        <f t="shared" si="45"/>
        <v>0</v>
      </c>
      <c r="AA66" s="64">
        <f t="shared" si="45"/>
        <v>0</v>
      </c>
      <c r="AB66" s="64">
        <f t="shared" si="45"/>
        <v>0</v>
      </c>
      <c r="AC66" s="64">
        <f t="shared" si="45"/>
        <v>0</v>
      </c>
      <c r="AD66" s="64">
        <f t="shared" si="45"/>
        <v>0</v>
      </c>
      <c r="AE66" s="64">
        <f t="shared" si="45"/>
        <v>0</v>
      </c>
      <c r="AF66" s="64">
        <f t="shared" si="45"/>
        <v>0</v>
      </c>
      <c r="AG66" s="64">
        <f t="shared" si="45"/>
        <v>0</v>
      </c>
      <c r="AH66" s="64">
        <f t="shared" si="45"/>
        <v>0</v>
      </c>
      <c r="AI66" s="64">
        <f t="shared" si="45"/>
        <v>0</v>
      </c>
      <c r="AK66" s="17">
        <f>IFERROR(F66/$F$28,"")</f>
        <v>0</v>
      </c>
      <c r="AL66" s="7">
        <f>IFERROR(ABS(F66/($F$37+$F$46+$F$57+$F$66)),"")</f>
        <v>0</v>
      </c>
      <c r="AM66" s="28">
        <f>SUM(F66:Y66)</f>
        <v>-39707.184000000008</v>
      </c>
      <c r="AN66" s="64">
        <f>SUM(F66:AI66)</f>
        <v>-39707.184000000008</v>
      </c>
      <c r="AP66" s="10"/>
    </row>
    <row r="67" spans="2:42" outlineLevel="1" x14ac:dyDescent="0.3">
      <c r="B67" s="1" t="s">
        <v>7</v>
      </c>
      <c r="C67" s="2" t="s">
        <v>114</v>
      </c>
      <c r="D67" s="2"/>
      <c r="E67" s="28">
        <f>AD8</f>
        <v>39707.184000000008</v>
      </c>
      <c r="F67" s="28">
        <f>F65+F66</f>
        <v>39707.184000000008</v>
      </c>
      <c r="G67" s="28">
        <f t="shared" ref="G67:W67" si="46">G65+G66</f>
        <v>35295.274666666672</v>
      </c>
      <c r="H67" s="28">
        <f t="shared" si="46"/>
        <v>30883.365333333339</v>
      </c>
      <c r="I67" s="28">
        <f t="shared" si="46"/>
        <v>26471.456000000006</v>
      </c>
      <c r="J67" s="28">
        <f t="shared" si="46"/>
        <v>22059.546666666673</v>
      </c>
      <c r="K67" s="28">
        <f t="shared" si="46"/>
        <v>17647.637333333339</v>
      </c>
      <c r="L67" s="28">
        <f t="shared" si="46"/>
        <v>13235.728000000006</v>
      </c>
      <c r="M67" s="28">
        <f t="shared" si="46"/>
        <v>8823.8186666666734</v>
      </c>
      <c r="N67" s="28">
        <f t="shared" si="46"/>
        <v>4411.9093333333394</v>
      </c>
      <c r="O67" s="28">
        <f t="shared" si="46"/>
        <v>0</v>
      </c>
      <c r="P67" s="28">
        <f t="shared" si="46"/>
        <v>0</v>
      </c>
      <c r="Q67" s="28">
        <f t="shared" si="46"/>
        <v>0</v>
      </c>
      <c r="R67" s="28">
        <f t="shared" si="46"/>
        <v>0</v>
      </c>
      <c r="S67" s="28">
        <f t="shared" si="46"/>
        <v>0</v>
      </c>
      <c r="T67" s="28">
        <f t="shared" si="46"/>
        <v>0</v>
      </c>
      <c r="U67" s="28">
        <f t="shared" si="46"/>
        <v>0</v>
      </c>
      <c r="V67" s="28">
        <f t="shared" si="46"/>
        <v>0</v>
      </c>
      <c r="W67" s="28">
        <f t="shared" si="46"/>
        <v>0</v>
      </c>
      <c r="X67" s="28">
        <f t="shared" ref="X67:AI67" si="47">X65+X66</f>
        <v>0</v>
      </c>
      <c r="Y67" s="28">
        <f t="shared" si="47"/>
        <v>0</v>
      </c>
      <c r="Z67" s="64">
        <f t="shared" si="47"/>
        <v>0</v>
      </c>
      <c r="AA67" s="64">
        <f t="shared" si="47"/>
        <v>0</v>
      </c>
      <c r="AB67" s="64">
        <f t="shared" si="47"/>
        <v>0</v>
      </c>
      <c r="AC67" s="64">
        <f t="shared" si="47"/>
        <v>0</v>
      </c>
      <c r="AD67" s="64">
        <f t="shared" si="47"/>
        <v>0</v>
      </c>
      <c r="AE67" s="64">
        <f t="shared" si="47"/>
        <v>0</v>
      </c>
      <c r="AF67" s="64">
        <f t="shared" si="47"/>
        <v>0</v>
      </c>
      <c r="AG67" s="64">
        <f t="shared" si="47"/>
        <v>0</v>
      </c>
      <c r="AH67" s="64">
        <f t="shared" si="47"/>
        <v>0</v>
      </c>
      <c r="AI67" s="64">
        <f t="shared" si="47"/>
        <v>0</v>
      </c>
      <c r="AK67" s="17"/>
      <c r="AL67" s="7"/>
      <c r="AM67" s="28"/>
      <c r="AN67" s="64"/>
      <c r="AP67" s="10"/>
    </row>
    <row r="68" spans="2:42" outlineLevel="1" x14ac:dyDescent="0.3">
      <c r="C68" s="2" t="s">
        <v>114</v>
      </c>
      <c r="D68" s="2"/>
      <c r="E68" s="28"/>
      <c r="F68" s="28"/>
      <c r="G68" s="28"/>
      <c r="H68" s="28"/>
      <c r="I68" s="28"/>
      <c r="J68" s="28"/>
      <c r="K68" s="28"/>
      <c r="L68" s="28"/>
      <c r="M68" s="28"/>
      <c r="N68" s="28"/>
      <c r="O68" s="28"/>
      <c r="P68" s="28"/>
      <c r="Q68" s="28"/>
      <c r="R68" s="28"/>
      <c r="S68" s="28"/>
      <c r="T68" s="28"/>
      <c r="U68" s="28"/>
      <c r="V68" s="28"/>
      <c r="W68" s="28"/>
      <c r="X68" s="28"/>
      <c r="Y68" s="28"/>
      <c r="Z68" s="64"/>
      <c r="AA68" s="64"/>
      <c r="AB68" s="64"/>
      <c r="AC68" s="64"/>
      <c r="AD68" s="64"/>
      <c r="AE68" s="64"/>
      <c r="AF68" s="64"/>
      <c r="AG68" s="64"/>
      <c r="AH68" s="64"/>
      <c r="AI68" s="64"/>
      <c r="AK68" s="17"/>
      <c r="AL68" s="7"/>
      <c r="AM68" s="28"/>
      <c r="AN68" s="64"/>
      <c r="AP68" s="10"/>
    </row>
    <row r="69" spans="2:42" x14ac:dyDescent="0.3">
      <c r="B69" s="1" t="s">
        <v>123</v>
      </c>
      <c r="C69" s="2" t="s">
        <v>114</v>
      </c>
      <c r="D69" s="2"/>
      <c r="E69" s="37"/>
      <c r="F69" s="36">
        <f>E70-F70</f>
        <v>3753.9302560056017</v>
      </c>
      <c r="G69" s="36">
        <f t="shared" ref="G69:W69" si="48">F70-G70</f>
        <v>7942.4588870577281</v>
      </c>
      <c r="H69" s="36">
        <f t="shared" si="48"/>
        <v>6981.4380810660114</v>
      </c>
      <c r="I69" s="36">
        <f t="shared" si="48"/>
        <v>5995.1897409742778</v>
      </c>
      <c r="J69" s="36">
        <f t="shared" si="48"/>
        <v>4981.1651942891185</v>
      </c>
      <c r="K69" s="36">
        <f t="shared" si="48"/>
        <v>3936.5607922248164</v>
      </c>
      <c r="L69" s="36">
        <f t="shared" si="48"/>
        <v>2858.29258681192</v>
      </c>
      <c r="M69" s="36">
        <f t="shared" si="48"/>
        <v>1742.9685074774898</v>
      </c>
      <c r="N69" s="36">
        <f t="shared" si="48"/>
        <v>586.8577913614572</v>
      </c>
      <c r="O69" s="36">
        <f t="shared" si="48"/>
        <v>-467.87184699859063</v>
      </c>
      <c r="P69" s="36">
        <f t="shared" si="48"/>
        <v>-5941.6458542852488</v>
      </c>
      <c r="Q69" s="36">
        <f t="shared" si="48"/>
        <v>-6497.2092332471875</v>
      </c>
      <c r="R69" s="36">
        <f t="shared" si="48"/>
        <v>-7109.0975680444099</v>
      </c>
      <c r="S69" s="36">
        <f t="shared" si="48"/>
        <v>-7782.9596682135016</v>
      </c>
      <c r="T69" s="36">
        <f t="shared" si="48"/>
        <v>-8525.0063577871188</v>
      </c>
      <c r="U69" s="36">
        <f t="shared" si="48"/>
        <v>-2455.0713086923643</v>
      </c>
      <c r="V69" s="36">
        <f t="shared" si="48"/>
        <v>0</v>
      </c>
      <c r="W69" s="36">
        <f t="shared" si="48"/>
        <v>0</v>
      </c>
      <c r="X69" s="36">
        <f t="shared" ref="X69:AI69" si="49">W70-X70</f>
        <v>0</v>
      </c>
      <c r="Y69" s="36">
        <f t="shared" si="49"/>
        <v>0</v>
      </c>
      <c r="Z69" s="64">
        <f t="shared" si="49"/>
        <v>0</v>
      </c>
      <c r="AA69" s="64">
        <f t="shared" si="49"/>
        <v>0</v>
      </c>
      <c r="AB69" s="64">
        <f t="shared" si="49"/>
        <v>0</v>
      </c>
      <c r="AC69" s="64">
        <f t="shared" si="49"/>
        <v>0</v>
      </c>
      <c r="AD69" s="64">
        <f t="shared" si="49"/>
        <v>0</v>
      </c>
      <c r="AE69" s="64">
        <f t="shared" si="49"/>
        <v>0</v>
      </c>
      <c r="AF69" s="64">
        <f t="shared" si="49"/>
        <v>0</v>
      </c>
      <c r="AG69" s="64">
        <f t="shared" si="49"/>
        <v>0</v>
      </c>
      <c r="AH69" s="64">
        <f t="shared" si="49"/>
        <v>0</v>
      </c>
      <c r="AI69" s="64">
        <f t="shared" si="49"/>
        <v>0</v>
      </c>
      <c r="AK69" s="17"/>
      <c r="AL69" s="7"/>
      <c r="AM69" s="28"/>
      <c r="AN69" s="64"/>
      <c r="AP69" s="10"/>
    </row>
    <row r="70" spans="2:42" outlineLevel="1" collapsed="1" x14ac:dyDescent="0.3">
      <c r="B70" s="1" t="s">
        <v>137</v>
      </c>
      <c r="C70" s="2" t="s">
        <v>114</v>
      </c>
      <c r="D70" s="2"/>
      <c r="E70" s="37"/>
      <c r="F70" s="36">
        <f>MIN(F67,$AD$12,F61+F63+F66+E70)</f>
        <v>-3753.9302560056017</v>
      </c>
      <c r="G70" s="36">
        <f>MIN(G67,$AD$12,G61+G63+G66+F70)</f>
        <v>-11696.38914306333</v>
      </c>
      <c r="H70" s="36">
        <f t="shared" ref="H70:W70" si="50">MIN(H67,$AD$12,H61+H63+H66+G70)</f>
        <v>-18677.827224129342</v>
      </c>
      <c r="I70" s="36">
        <f t="shared" si="50"/>
        <v>-24673.016965103619</v>
      </c>
      <c r="J70" s="36">
        <f t="shared" si="50"/>
        <v>-29654.182159392738</v>
      </c>
      <c r="K70" s="36">
        <f t="shared" si="50"/>
        <v>-33590.742951617554</v>
      </c>
      <c r="L70" s="36">
        <f t="shared" si="50"/>
        <v>-36449.035538429474</v>
      </c>
      <c r="M70" s="36">
        <f t="shared" si="50"/>
        <v>-38192.004045906964</v>
      </c>
      <c r="N70" s="36">
        <f t="shared" si="50"/>
        <v>-38778.861837268421</v>
      </c>
      <c r="O70" s="36">
        <f t="shared" si="50"/>
        <v>-38310.989990269831</v>
      </c>
      <c r="P70" s="36">
        <f t="shared" si="50"/>
        <v>-32369.344135984582</v>
      </c>
      <c r="Q70" s="36">
        <f t="shared" si="50"/>
        <v>-25872.134902737394</v>
      </c>
      <c r="R70" s="36">
        <f t="shared" si="50"/>
        <v>-18763.037334692985</v>
      </c>
      <c r="S70" s="36">
        <f t="shared" si="50"/>
        <v>-10980.077666479483</v>
      </c>
      <c r="T70" s="36">
        <f t="shared" si="50"/>
        <v>-2455.0713086923643</v>
      </c>
      <c r="U70" s="36">
        <f t="shared" si="50"/>
        <v>0</v>
      </c>
      <c r="V70" s="36">
        <f t="shared" si="50"/>
        <v>0</v>
      </c>
      <c r="W70" s="36">
        <f t="shared" si="50"/>
        <v>0</v>
      </c>
      <c r="X70" s="36">
        <f t="shared" ref="X70:AI70" si="51">MIN(X67,$AD$12,X61+X63+X66+W70)</f>
        <v>0</v>
      </c>
      <c r="Y70" s="36">
        <f t="shared" si="51"/>
        <v>0</v>
      </c>
      <c r="Z70" s="64">
        <f t="shared" si="51"/>
        <v>0</v>
      </c>
      <c r="AA70" s="64">
        <f t="shared" si="51"/>
        <v>0</v>
      </c>
      <c r="AB70" s="64">
        <f t="shared" si="51"/>
        <v>0</v>
      </c>
      <c r="AC70" s="64">
        <f t="shared" si="51"/>
        <v>0</v>
      </c>
      <c r="AD70" s="64">
        <f t="shared" si="51"/>
        <v>0</v>
      </c>
      <c r="AE70" s="64">
        <f t="shared" si="51"/>
        <v>0</v>
      </c>
      <c r="AF70" s="64">
        <f t="shared" si="51"/>
        <v>0</v>
      </c>
      <c r="AG70" s="64">
        <f t="shared" si="51"/>
        <v>0</v>
      </c>
      <c r="AH70" s="64">
        <f t="shared" si="51"/>
        <v>0</v>
      </c>
      <c r="AI70" s="64">
        <f t="shared" si="51"/>
        <v>0</v>
      </c>
      <c r="AK70" s="17"/>
      <c r="AL70" s="7"/>
      <c r="AM70" s="28"/>
      <c r="AN70" s="64"/>
      <c r="AP70" s="10"/>
    </row>
    <row r="71" spans="2:42" outlineLevel="1" x14ac:dyDescent="0.3">
      <c r="C71" s="2" t="s">
        <v>114</v>
      </c>
      <c r="D71" s="2"/>
      <c r="E71" s="28"/>
      <c r="F71" s="28"/>
      <c r="G71" s="28"/>
      <c r="H71" s="28"/>
      <c r="I71" s="28"/>
      <c r="J71" s="28"/>
      <c r="K71" s="28"/>
      <c r="L71" s="28"/>
      <c r="M71" s="28"/>
      <c r="N71" s="28"/>
      <c r="O71" s="28"/>
      <c r="P71" s="28"/>
      <c r="Q71" s="28"/>
      <c r="R71" s="28"/>
      <c r="S71" s="28"/>
      <c r="T71" s="28"/>
      <c r="U71" s="28"/>
      <c r="V71" s="28"/>
      <c r="W71" s="28"/>
      <c r="X71" s="28"/>
      <c r="Y71" s="28"/>
      <c r="Z71" s="64"/>
      <c r="AA71" s="64"/>
      <c r="AB71" s="64"/>
      <c r="AC71" s="64"/>
      <c r="AD71" s="64"/>
      <c r="AE71" s="64"/>
      <c r="AF71" s="64"/>
      <c r="AG71" s="64"/>
      <c r="AH71" s="64"/>
      <c r="AI71" s="64"/>
      <c r="AK71" s="17"/>
      <c r="AL71" s="7"/>
      <c r="AM71" s="28"/>
      <c r="AN71" s="64"/>
      <c r="AP71" s="10"/>
    </row>
    <row r="72" spans="2:42" outlineLevel="1" x14ac:dyDescent="0.3">
      <c r="B72" s="1" t="s">
        <v>4</v>
      </c>
      <c r="C72" s="2" t="s">
        <v>114</v>
      </c>
      <c r="D72" s="2"/>
      <c r="E72" s="28"/>
      <c r="F72" s="28">
        <f t="shared" ref="F72:W72" si="52">E74</f>
        <v>0</v>
      </c>
      <c r="G72" s="28">
        <f t="shared" si="52"/>
        <v>0</v>
      </c>
      <c r="H72" s="28">
        <f t="shared" si="52"/>
        <v>0</v>
      </c>
      <c r="I72" s="28">
        <f t="shared" si="52"/>
        <v>0</v>
      </c>
      <c r="J72" s="28">
        <f t="shared" si="52"/>
        <v>0</v>
      </c>
      <c r="K72" s="28">
        <f t="shared" si="52"/>
        <v>0</v>
      </c>
      <c r="L72" s="28">
        <f t="shared" si="52"/>
        <v>0</v>
      </c>
      <c r="M72" s="28">
        <f t="shared" si="52"/>
        <v>0</v>
      </c>
      <c r="N72" s="28">
        <f t="shared" si="52"/>
        <v>0</v>
      </c>
      <c r="O72" s="28">
        <f t="shared" si="52"/>
        <v>0</v>
      </c>
      <c r="P72" s="28">
        <f t="shared" si="52"/>
        <v>0</v>
      </c>
      <c r="Q72" s="28">
        <f t="shared" si="52"/>
        <v>0</v>
      </c>
      <c r="R72" s="28">
        <f t="shared" si="52"/>
        <v>0</v>
      </c>
      <c r="S72" s="28">
        <f t="shared" si="52"/>
        <v>0</v>
      </c>
      <c r="T72" s="28">
        <f t="shared" si="52"/>
        <v>0</v>
      </c>
      <c r="U72" s="28">
        <f t="shared" si="52"/>
        <v>0</v>
      </c>
      <c r="V72" s="28">
        <f t="shared" si="52"/>
        <v>0</v>
      </c>
      <c r="W72" s="28">
        <f t="shared" si="52"/>
        <v>0</v>
      </c>
      <c r="X72" s="28">
        <f t="shared" ref="X72:AI72" si="53">W74</f>
        <v>0</v>
      </c>
      <c r="Y72" s="28">
        <f t="shared" si="53"/>
        <v>0</v>
      </c>
      <c r="Z72" s="64">
        <f t="shared" si="53"/>
        <v>0</v>
      </c>
      <c r="AA72" s="64">
        <f t="shared" si="53"/>
        <v>0</v>
      </c>
      <c r="AB72" s="64">
        <f t="shared" si="53"/>
        <v>0</v>
      </c>
      <c r="AC72" s="64">
        <f t="shared" si="53"/>
        <v>0</v>
      </c>
      <c r="AD72" s="64">
        <f t="shared" si="53"/>
        <v>0</v>
      </c>
      <c r="AE72" s="64">
        <f t="shared" si="53"/>
        <v>0</v>
      </c>
      <c r="AF72" s="64">
        <f t="shared" si="53"/>
        <v>0</v>
      </c>
      <c r="AG72" s="64">
        <f t="shared" si="53"/>
        <v>0</v>
      </c>
      <c r="AH72" s="64">
        <f t="shared" si="53"/>
        <v>0</v>
      </c>
      <c r="AI72" s="64">
        <f t="shared" si="53"/>
        <v>0</v>
      </c>
      <c r="AK72" s="17"/>
      <c r="AL72" s="7"/>
      <c r="AM72" s="28"/>
      <c r="AN72" s="64"/>
      <c r="AP72" s="10"/>
    </row>
    <row r="73" spans="2:42" outlineLevel="1" collapsed="1" x14ac:dyDescent="0.3">
      <c r="B73" s="1" t="s">
        <v>6</v>
      </c>
      <c r="C73" s="2" t="s">
        <v>114</v>
      </c>
      <c r="D73" s="2"/>
      <c r="E73" s="36">
        <f>-AD14*AD7</f>
        <v>0</v>
      </c>
      <c r="F73" s="36">
        <f>-MIN(F72,MAX(F61+F63+F66+F69,0))</f>
        <v>0</v>
      </c>
      <c r="G73" s="36">
        <f t="shared" ref="G73:W73" si="54">-MIN(G72,MAX(G61+G63+G66+G69,0))</f>
        <v>0</v>
      </c>
      <c r="H73" s="36">
        <f t="shared" si="54"/>
        <v>0</v>
      </c>
      <c r="I73" s="36">
        <f t="shared" si="54"/>
        <v>0</v>
      </c>
      <c r="J73" s="36">
        <f t="shared" si="54"/>
        <v>0</v>
      </c>
      <c r="K73" s="36">
        <f t="shared" si="54"/>
        <v>0</v>
      </c>
      <c r="L73" s="36">
        <f t="shared" si="54"/>
        <v>0</v>
      </c>
      <c r="M73" s="36">
        <f t="shared" si="54"/>
        <v>0</v>
      </c>
      <c r="N73" s="36">
        <f t="shared" si="54"/>
        <v>0</v>
      </c>
      <c r="O73" s="36">
        <f t="shared" si="54"/>
        <v>0</v>
      </c>
      <c r="P73" s="36">
        <f t="shared" si="54"/>
        <v>0</v>
      </c>
      <c r="Q73" s="36">
        <f t="shared" si="54"/>
        <v>0</v>
      </c>
      <c r="R73" s="36">
        <f t="shared" si="54"/>
        <v>0</v>
      </c>
      <c r="S73" s="36">
        <f t="shared" si="54"/>
        <v>0</v>
      </c>
      <c r="T73" s="36">
        <f t="shared" si="54"/>
        <v>0</v>
      </c>
      <c r="U73" s="36">
        <f t="shared" si="54"/>
        <v>0</v>
      </c>
      <c r="V73" s="36">
        <f t="shared" si="54"/>
        <v>0</v>
      </c>
      <c r="W73" s="36">
        <f t="shared" si="54"/>
        <v>0</v>
      </c>
      <c r="X73" s="36">
        <f t="shared" ref="X73:AI73" si="55">-MIN(X72,MAX(X61+X63+X66+X69,0))</f>
        <v>0</v>
      </c>
      <c r="Y73" s="36">
        <f t="shared" si="55"/>
        <v>0</v>
      </c>
      <c r="Z73" s="64">
        <f t="shared" si="55"/>
        <v>0</v>
      </c>
      <c r="AA73" s="64">
        <f t="shared" si="55"/>
        <v>0</v>
      </c>
      <c r="AB73" s="64">
        <f t="shared" si="55"/>
        <v>0</v>
      </c>
      <c r="AC73" s="64">
        <f t="shared" si="55"/>
        <v>0</v>
      </c>
      <c r="AD73" s="64">
        <f t="shared" si="55"/>
        <v>0</v>
      </c>
      <c r="AE73" s="64">
        <f t="shared" si="55"/>
        <v>0</v>
      </c>
      <c r="AF73" s="64">
        <f t="shared" si="55"/>
        <v>0</v>
      </c>
      <c r="AG73" s="64">
        <f t="shared" si="55"/>
        <v>0</v>
      </c>
      <c r="AH73" s="64">
        <f t="shared" si="55"/>
        <v>0</v>
      </c>
      <c r="AI73" s="64">
        <f t="shared" si="55"/>
        <v>0</v>
      </c>
      <c r="AK73" s="17">
        <f>IFERROR(F73/$F$28,"")</f>
        <v>0</v>
      </c>
      <c r="AL73" s="7">
        <f>IFERROR(ABS(F73/($F$37+$F$46+$F$57+$F$66)),"")</f>
        <v>0</v>
      </c>
      <c r="AM73" s="28">
        <f>SUM(F73:Y73)</f>
        <v>0</v>
      </c>
      <c r="AN73" s="64">
        <f>SUM(F73:AI73)</f>
        <v>0</v>
      </c>
      <c r="AP73" s="10"/>
    </row>
    <row r="74" spans="2:42" outlineLevel="1" x14ac:dyDescent="0.3">
      <c r="B74" s="1" t="s">
        <v>8</v>
      </c>
      <c r="C74" s="2" t="s">
        <v>114</v>
      </c>
      <c r="D74" s="2"/>
      <c r="E74" s="28">
        <f>-E73</f>
        <v>0</v>
      </c>
      <c r="F74" s="28">
        <f>F72+F73</f>
        <v>0</v>
      </c>
      <c r="G74" s="28">
        <f t="shared" ref="G74:W74" si="56">G72+G73</f>
        <v>0</v>
      </c>
      <c r="H74" s="28">
        <f t="shared" si="56"/>
        <v>0</v>
      </c>
      <c r="I74" s="28">
        <f t="shared" si="56"/>
        <v>0</v>
      </c>
      <c r="J74" s="28">
        <f t="shared" si="56"/>
        <v>0</v>
      </c>
      <c r="K74" s="28">
        <f t="shared" si="56"/>
        <v>0</v>
      </c>
      <c r="L74" s="28">
        <f t="shared" si="56"/>
        <v>0</v>
      </c>
      <c r="M74" s="28">
        <f t="shared" si="56"/>
        <v>0</v>
      </c>
      <c r="N74" s="28">
        <f t="shared" si="56"/>
        <v>0</v>
      </c>
      <c r="O74" s="28">
        <f t="shared" si="56"/>
        <v>0</v>
      </c>
      <c r="P74" s="28">
        <f t="shared" si="56"/>
        <v>0</v>
      </c>
      <c r="Q74" s="28">
        <f t="shared" si="56"/>
        <v>0</v>
      </c>
      <c r="R74" s="28">
        <f t="shared" si="56"/>
        <v>0</v>
      </c>
      <c r="S74" s="28">
        <f t="shared" si="56"/>
        <v>0</v>
      </c>
      <c r="T74" s="28">
        <f t="shared" si="56"/>
        <v>0</v>
      </c>
      <c r="U74" s="28">
        <f t="shared" si="56"/>
        <v>0</v>
      </c>
      <c r="V74" s="28">
        <f t="shared" si="56"/>
        <v>0</v>
      </c>
      <c r="W74" s="28">
        <f t="shared" si="56"/>
        <v>0</v>
      </c>
      <c r="X74" s="28">
        <f t="shared" ref="X74:AI74" si="57">X72+X73</f>
        <v>0</v>
      </c>
      <c r="Y74" s="28">
        <f t="shared" si="57"/>
        <v>0</v>
      </c>
      <c r="Z74" s="64">
        <f t="shared" si="57"/>
        <v>0</v>
      </c>
      <c r="AA74" s="64">
        <f t="shared" si="57"/>
        <v>0</v>
      </c>
      <c r="AB74" s="64">
        <f t="shared" si="57"/>
        <v>0</v>
      </c>
      <c r="AC74" s="64">
        <f t="shared" si="57"/>
        <v>0</v>
      </c>
      <c r="AD74" s="64">
        <f t="shared" si="57"/>
        <v>0</v>
      </c>
      <c r="AE74" s="64">
        <f t="shared" si="57"/>
        <v>0</v>
      </c>
      <c r="AF74" s="64">
        <f t="shared" si="57"/>
        <v>0</v>
      </c>
      <c r="AG74" s="64">
        <f t="shared" si="57"/>
        <v>0</v>
      </c>
      <c r="AH74" s="64">
        <f t="shared" si="57"/>
        <v>0</v>
      </c>
      <c r="AI74" s="64">
        <f t="shared" si="57"/>
        <v>0</v>
      </c>
      <c r="AK74" s="17"/>
      <c r="AL74" s="7"/>
      <c r="AM74" s="28"/>
      <c r="AN74" s="64"/>
      <c r="AP74" s="10"/>
    </row>
    <row r="75" spans="2:42" outlineLevel="1" x14ac:dyDescent="0.3">
      <c r="C75" s="2" t="s">
        <v>114</v>
      </c>
      <c r="D75" s="2"/>
      <c r="E75" s="28"/>
      <c r="F75" s="28"/>
      <c r="G75" s="28"/>
      <c r="H75" s="28"/>
      <c r="I75" s="28"/>
      <c r="J75" s="28"/>
      <c r="K75" s="28"/>
      <c r="L75" s="28"/>
      <c r="M75" s="28"/>
      <c r="N75" s="28"/>
      <c r="O75" s="28"/>
      <c r="P75" s="28"/>
      <c r="Q75" s="28"/>
      <c r="R75" s="28"/>
      <c r="S75" s="28"/>
      <c r="T75" s="28"/>
      <c r="U75" s="28"/>
      <c r="V75" s="28"/>
      <c r="W75" s="28"/>
      <c r="X75" s="28"/>
      <c r="Y75" s="28"/>
      <c r="Z75" s="64"/>
      <c r="AA75" s="64"/>
      <c r="AB75" s="64"/>
      <c r="AC75" s="64"/>
      <c r="AD75" s="64"/>
      <c r="AE75" s="64"/>
      <c r="AF75" s="64"/>
      <c r="AG75" s="64"/>
      <c r="AH75" s="64"/>
      <c r="AI75" s="64"/>
      <c r="AK75" s="17"/>
      <c r="AL75" s="7"/>
      <c r="AM75" s="28"/>
      <c r="AN75" s="64"/>
      <c r="AP75" s="10"/>
    </row>
    <row r="76" spans="2:42" x14ac:dyDescent="0.3">
      <c r="B76" s="11" t="s">
        <v>124</v>
      </c>
      <c r="C76" s="88" t="s">
        <v>114</v>
      </c>
      <c r="D76" s="18"/>
      <c r="E76" s="29">
        <f>-(100%-$AD$14)*AD7</f>
        <v>-9926.7960000000021</v>
      </c>
      <c r="F76" s="29">
        <f t="shared" ref="F76:W76" si="58">F61+F63+F66+F73+F69</f>
        <v>0</v>
      </c>
      <c r="G76" s="29">
        <f t="shared" si="58"/>
        <v>0</v>
      </c>
      <c r="H76" s="29">
        <f t="shared" si="58"/>
        <v>0</v>
      </c>
      <c r="I76" s="29">
        <f t="shared" si="58"/>
        <v>0</v>
      </c>
      <c r="J76" s="29">
        <f t="shared" si="58"/>
        <v>0</v>
      </c>
      <c r="K76" s="29">
        <f t="shared" si="58"/>
        <v>0</v>
      </c>
      <c r="L76" s="29">
        <f t="shared" si="58"/>
        <v>0</v>
      </c>
      <c r="M76" s="29">
        <f t="shared" si="58"/>
        <v>-2.7284841053187847E-12</v>
      </c>
      <c r="N76" s="29">
        <f t="shared" si="58"/>
        <v>0</v>
      </c>
      <c r="O76" s="29">
        <f t="shared" si="58"/>
        <v>9.0949470177292824E-13</v>
      </c>
      <c r="P76" s="29">
        <f t="shared" si="58"/>
        <v>0</v>
      </c>
      <c r="Q76" s="29">
        <f t="shared" si="58"/>
        <v>0</v>
      </c>
      <c r="R76" s="29">
        <f t="shared" si="58"/>
        <v>0</v>
      </c>
      <c r="S76" s="29">
        <f t="shared" si="58"/>
        <v>0</v>
      </c>
      <c r="T76" s="29">
        <f t="shared" si="58"/>
        <v>0</v>
      </c>
      <c r="U76" s="29">
        <f t="shared" si="58"/>
        <v>6886.9947382385908</v>
      </c>
      <c r="V76" s="29">
        <f t="shared" si="58"/>
        <v>10241.645770651818</v>
      </c>
      <c r="W76" s="29">
        <f t="shared" si="58"/>
        <v>11231.998230039735</v>
      </c>
      <c r="X76" s="29">
        <f t="shared" ref="X76:AI76" si="59">X61+X63+X66+X73+X69</f>
        <v>12322.195423735735</v>
      </c>
      <c r="Y76" s="29">
        <f t="shared" si="59"/>
        <v>13522.209514619188</v>
      </c>
      <c r="Z76" s="66">
        <f t="shared" si="59"/>
        <v>14297.027859575104</v>
      </c>
      <c r="AA76" s="66">
        <f t="shared" si="59"/>
        <v>15750.64565917079</v>
      </c>
      <c r="AB76" s="66">
        <f t="shared" si="59"/>
        <v>17350.330379732157</v>
      </c>
      <c r="AC76" s="66">
        <f t="shared" si="59"/>
        <v>19110.634483309892</v>
      </c>
      <c r="AD76" s="66">
        <f t="shared" si="59"/>
        <v>21047.550792072543</v>
      </c>
      <c r="AE76" s="66">
        <f t="shared" si="59"/>
        <v>23178.654293534953</v>
      </c>
      <c r="AF76" s="66">
        <f t="shared" si="59"/>
        <v>25523.257842577292</v>
      </c>
      <c r="AG76" s="66">
        <f t="shared" si="59"/>
        <v>28102.583116365277</v>
      </c>
      <c r="AH76" s="66">
        <f t="shared" si="59"/>
        <v>30939.948310069616</v>
      </c>
      <c r="AI76" s="66">
        <f t="shared" si="59"/>
        <v>34060.974205821534</v>
      </c>
      <c r="AK76" s="24">
        <f>IFERROR(F76/$F$28,"")</f>
        <v>0</v>
      </c>
      <c r="AL76" s="23">
        <f>IFERROR(ABS(F76/($F$37+$F$46+$F$57+$F$66)),"")</f>
        <v>0</v>
      </c>
      <c r="AM76" s="29">
        <f>SUM(F76:Y76)</f>
        <v>54205.043677285066</v>
      </c>
      <c r="AN76" s="66">
        <f>SUM(F76:AI76)</f>
        <v>283566.65061951423</v>
      </c>
      <c r="AP76" s="10"/>
    </row>
    <row r="77" spans="2:42" x14ac:dyDescent="0.3">
      <c r="C77" s="2"/>
      <c r="D77" s="2"/>
      <c r="E77" s="28"/>
      <c r="F77" s="28"/>
      <c r="G77" s="28"/>
      <c r="H77" s="28"/>
      <c r="I77" s="28"/>
      <c r="J77" s="28"/>
      <c r="K77" s="28"/>
      <c r="L77" s="28"/>
      <c r="M77" s="28"/>
      <c r="N77" s="28"/>
      <c r="O77" s="28"/>
      <c r="P77" s="28"/>
      <c r="Q77" s="28"/>
      <c r="R77" s="28"/>
      <c r="S77" s="28"/>
      <c r="T77" s="28"/>
      <c r="U77" s="28"/>
      <c r="V77" s="28"/>
      <c r="W77" s="28"/>
      <c r="X77" s="28"/>
      <c r="Y77" s="28"/>
      <c r="Z77" s="64"/>
      <c r="AA77" s="64"/>
      <c r="AB77" s="64"/>
      <c r="AC77" s="64"/>
      <c r="AD77" s="64"/>
      <c r="AE77" s="64"/>
      <c r="AF77" s="64"/>
      <c r="AG77" s="64"/>
      <c r="AH77" s="64"/>
      <c r="AI77" s="64"/>
      <c r="AK77" s="17"/>
      <c r="AL77" s="7"/>
      <c r="AM77" s="28"/>
      <c r="AN77" s="64"/>
      <c r="AP77" s="10"/>
    </row>
    <row r="78" spans="2:42" x14ac:dyDescent="0.3">
      <c r="B78" s="1" t="s">
        <v>125</v>
      </c>
      <c r="C78" s="2" t="s">
        <v>114</v>
      </c>
      <c r="D78" s="2"/>
      <c r="E78" s="28">
        <f>-$I$5/1000*O5</f>
        <v>-49633.98000000001</v>
      </c>
      <c r="F78" s="28">
        <f>F40+F63</f>
        <v>2574.432366</v>
      </c>
      <c r="G78" s="28">
        <f t="shared" ref="G78:W78" si="60">G40+G63</f>
        <v>2844.0855556199995</v>
      </c>
      <c r="H78" s="28">
        <f t="shared" si="60"/>
        <v>3141.3954228239058</v>
      </c>
      <c r="I78" s="28">
        <f t="shared" si="60"/>
        <v>3469.158614629474</v>
      </c>
      <c r="J78" s="28">
        <f t="shared" si="60"/>
        <v>3830.4517516226656</v>
      </c>
      <c r="K78" s="28">
        <f t="shared" si="60"/>
        <v>4228.6592480788477</v>
      </c>
      <c r="L78" s="28">
        <f t="shared" si="60"/>
        <v>4667.5038803976558</v>
      </c>
      <c r="M78" s="28">
        <f t="shared" si="60"/>
        <v>5151.0803740413357</v>
      </c>
      <c r="N78" s="28">
        <f t="shared" si="60"/>
        <v>5683.8923056154963</v>
      </c>
      <c r="O78" s="28">
        <f t="shared" si="60"/>
        <v>6270.8926457588805</v>
      </c>
      <c r="P78" s="28">
        <f t="shared" si="60"/>
        <v>6917.5283003657059</v>
      </c>
      <c r="Q78" s="28">
        <f t="shared" si="60"/>
        <v>7629.7890426246022</v>
      </c>
      <c r="R78" s="28">
        <f t="shared" si="60"/>
        <v>8414.2612667236026</v>
      </c>
      <c r="S78" s="28">
        <f t="shared" si="60"/>
        <v>9278.1870361711553</v>
      </c>
      <c r="T78" s="28">
        <f t="shared" si="60"/>
        <v>10229.528945880922</v>
      </c>
      <c r="U78" s="28">
        <f t="shared" si="60"/>
        <v>11277.041367860198</v>
      </c>
      <c r="V78" s="28">
        <f t="shared" si="60"/>
        <v>12430.348705963868</v>
      </c>
      <c r="W78" s="28">
        <f t="shared" si="60"/>
        <v>13700.031346204789</v>
      </c>
      <c r="X78" s="28">
        <f t="shared" ref="X78:AI78" si="61">X40+X63</f>
        <v>15097.720056071455</v>
      </c>
      <c r="Y78" s="28">
        <f t="shared" si="61"/>
        <v>16636.19965976819</v>
      </c>
      <c r="Z78" s="64">
        <f t="shared" si="61"/>
        <v>18329.522896891158</v>
      </c>
      <c r="AA78" s="64">
        <f t="shared" si="61"/>
        <v>20193.135460475372</v>
      </c>
      <c r="AB78" s="64">
        <f t="shared" si="61"/>
        <v>22244.01330734892</v>
      </c>
      <c r="AC78" s="64">
        <f t="shared" si="61"/>
        <v>24500.81344014089</v>
      </c>
      <c r="AD78" s="64">
        <f t="shared" si="61"/>
        <v>26984.039477016078</v>
      </c>
      <c r="AE78" s="64">
        <f t="shared" si="61"/>
        <v>29716.223453249939</v>
      </c>
      <c r="AF78" s="64">
        <f t="shared" si="61"/>
        <v>32722.125439201656</v>
      </c>
      <c r="AG78" s="64">
        <f t="shared" si="61"/>
        <v>36028.952713288818</v>
      </c>
      <c r="AH78" s="64">
        <f t="shared" si="61"/>
        <v>39666.600397525151</v>
      </c>
      <c r="AI78" s="64">
        <f t="shared" si="61"/>
        <v>43667.915648489143</v>
      </c>
      <c r="AK78" s="17">
        <f>IFERROR(F78/$F$28,"")</f>
        <v>0.73977941551724136</v>
      </c>
      <c r="AL78" s="7">
        <f>IFERROR(ABS(F78/($F$37+$F$46+$F$57+$F$66)),"")</f>
        <v>0.35588293982551311</v>
      </c>
      <c r="AM78" s="28">
        <f>SUM(F78:Y78)</f>
        <v>153472.18789222278</v>
      </c>
      <c r="AN78" s="64">
        <f>SUM(F78:AI78)</f>
        <v>447525.53012584988</v>
      </c>
      <c r="AP78" s="10"/>
    </row>
    <row r="79" spans="2:42" x14ac:dyDescent="0.3">
      <c r="C79" s="2"/>
      <c r="D79" s="2"/>
      <c r="E79" s="28"/>
      <c r="F79" s="28"/>
      <c r="G79" s="28"/>
      <c r="H79" s="28"/>
      <c r="I79" s="28"/>
      <c r="J79" s="28"/>
      <c r="K79" s="28"/>
      <c r="L79" s="28"/>
      <c r="M79" s="28"/>
      <c r="N79" s="28"/>
      <c r="O79" s="28"/>
      <c r="P79" s="28"/>
      <c r="Q79" s="28"/>
      <c r="R79" s="28"/>
      <c r="S79" s="28"/>
      <c r="T79" s="28"/>
      <c r="U79" s="28"/>
      <c r="V79" s="28"/>
      <c r="W79" s="28"/>
      <c r="X79" s="28"/>
      <c r="Y79" s="28"/>
      <c r="Z79" s="64"/>
      <c r="AA79" s="64"/>
      <c r="AB79" s="64"/>
      <c r="AC79" s="64"/>
      <c r="AD79" s="64"/>
      <c r="AE79" s="64"/>
      <c r="AF79" s="64"/>
      <c r="AG79" s="64"/>
      <c r="AH79" s="64"/>
      <c r="AI79" s="64"/>
      <c r="AK79" s="17"/>
      <c r="AL79" s="7"/>
      <c r="AM79" s="28"/>
      <c r="AN79" s="64"/>
      <c r="AP79" s="10"/>
    </row>
    <row r="80" spans="2:42" x14ac:dyDescent="0.3">
      <c r="B80" s="11" t="s">
        <v>139</v>
      </c>
      <c r="C80" s="88" t="s">
        <v>114</v>
      </c>
      <c r="D80" s="18"/>
      <c r="E80" s="30">
        <f>E73+E76</f>
        <v>-9926.7960000000021</v>
      </c>
      <c r="F80" s="30">
        <f t="shared" ref="F80:W80" si="62">-F73+F76</f>
        <v>0</v>
      </c>
      <c r="G80" s="30">
        <f t="shared" si="62"/>
        <v>0</v>
      </c>
      <c r="H80" s="30">
        <f t="shared" si="62"/>
        <v>0</v>
      </c>
      <c r="I80" s="30">
        <f t="shared" si="62"/>
        <v>0</v>
      </c>
      <c r="J80" s="30">
        <f t="shared" si="62"/>
        <v>0</v>
      </c>
      <c r="K80" s="30">
        <f t="shared" si="62"/>
        <v>0</v>
      </c>
      <c r="L80" s="30">
        <f t="shared" si="62"/>
        <v>0</v>
      </c>
      <c r="M80" s="30">
        <f t="shared" si="62"/>
        <v>-2.7284841053187847E-12</v>
      </c>
      <c r="N80" s="30">
        <f t="shared" si="62"/>
        <v>0</v>
      </c>
      <c r="O80" s="30">
        <f t="shared" si="62"/>
        <v>9.0949470177292824E-13</v>
      </c>
      <c r="P80" s="30">
        <f t="shared" si="62"/>
        <v>0</v>
      </c>
      <c r="Q80" s="30">
        <f t="shared" si="62"/>
        <v>0</v>
      </c>
      <c r="R80" s="30">
        <f t="shared" si="62"/>
        <v>0</v>
      </c>
      <c r="S80" s="30">
        <f t="shared" si="62"/>
        <v>0</v>
      </c>
      <c r="T80" s="30">
        <f t="shared" si="62"/>
        <v>0</v>
      </c>
      <c r="U80" s="30">
        <f t="shared" si="62"/>
        <v>6886.9947382385908</v>
      </c>
      <c r="V80" s="30">
        <f t="shared" si="62"/>
        <v>10241.645770651818</v>
      </c>
      <c r="W80" s="30">
        <f t="shared" si="62"/>
        <v>11231.998230039735</v>
      </c>
      <c r="X80" s="30">
        <f t="shared" ref="X80:AI80" si="63">-X73+X76</f>
        <v>12322.195423735735</v>
      </c>
      <c r="Y80" s="30">
        <f t="shared" si="63"/>
        <v>13522.209514619188</v>
      </c>
      <c r="Z80" s="68">
        <f t="shared" si="63"/>
        <v>14297.027859575104</v>
      </c>
      <c r="AA80" s="68">
        <f t="shared" si="63"/>
        <v>15750.64565917079</v>
      </c>
      <c r="AB80" s="68">
        <f t="shared" si="63"/>
        <v>17350.330379732157</v>
      </c>
      <c r="AC80" s="68">
        <f t="shared" si="63"/>
        <v>19110.634483309892</v>
      </c>
      <c r="AD80" s="68">
        <f t="shared" si="63"/>
        <v>21047.550792072543</v>
      </c>
      <c r="AE80" s="68">
        <f t="shared" si="63"/>
        <v>23178.654293534953</v>
      </c>
      <c r="AF80" s="68">
        <f t="shared" si="63"/>
        <v>25523.257842577292</v>
      </c>
      <c r="AG80" s="68">
        <f t="shared" si="63"/>
        <v>28102.583116365277</v>
      </c>
      <c r="AH80" s="68">
        <f t="shared" si="63"/>
        <v>30939.948310069616</v>
      </c>
      <c r="AI80" s="68">
        <f t="shared" si="63"/>
        <v>34060.974205821534</v>
      </c>
      <c r="AK80" s="26">
        <f>IFERROR(F80/$F$28,"")</f>
        <v>0</v>
      </c>
      <c r="AL80" s="25">
        <f>IFERROR(ABS(F80/($F$37+$F$46+$F$57+$F$66)),"")</f>
        <v>0</v>
      </c>
      <c r="AM80" s="30">
        <f>SUM(F80:Y80)</f>
        <v>54205.043677285066</v>
      </c>
      <c r="AN80" s="68">
        <f>SUM(F80:AI80)</f>
        <v>283566.65061951423</v>
      </c>
      <c r="AP80" s="10"/>
    </row>
    <row r="81" spans="2:42" s="42" customFormat="1" x14ac:dyDescent="0.3">
      <c r="B81" s="42" t="s">
        <v>140</v>
      </c>
      <c r="C81" s="43" t="s">
        <v>1</v>
      </c>
      <c r="D81" s="43"/>
      <c r="F81" s="42">
        <f t="shared" ref="F81:W81" si="64">F80/F28</f>
        <v>0</v>
      </c>
      <c r="G81" s="42">
        <f t="shared" si="64"/>
        <v>0</v>
      </c>
      <c r="H81" s="42">
        <f t="shared" si="64"/>
        <v>0</v>
      </c>
      <c r="I81" s="42">
        <f t="shared" si="64"/>
        <v>0</v>
      </c>
      <c r="J81" s="42">
        <f t="shared" si="64"/>
        <v>0</v>
      </c>
      <c r="K81" s="42">
        <f t="shared" si="64"/>
        <v>0</v>
      </c>
      <c r="L81" s="42">
        <f t="shared" si="64"/>
        <v>0</v>
      </c>
      <c r="M81" s="42">
        <f t="shared" si="64"/>
        <v>-4.0336759088697501E-16</v>
      </c>
      <c r="N81" s="42">
        <f t="shared" si="64"/>
        <v>0</v>
      </c>
      <c r="O81" s="42">
        <f>O80/O28</f>
        <v>1.1120154908098622E-16</v>
      </c>
      <c r="P81" s="42">
        <f t="shared" si="64"/>
        <v>0</v>
      </c>
      <c r="Q81" s="42">
        <f t="shared" si="64"/>
        <v>0</v>
      </c>
      <c r="R81" s="42">
        <f t="shared" si="64"/>
        <v>0</v>
      </c>
      <c r="S81" s="42">
        <f t="shared" si="64"/>
        <v>0</v>
      </c>
      <c r="T81" s="42">
        <f t="shared" si="64"/>
        <v>0</v>
      </c>
      <c r="U81" s="42">
        <f t="shared" si="64"/>
        <v>0.47635824515981756</v>
      </c>
      <c r="V81" s="42">
        <f t="shared" si="64"/>
        <v>0.64422745855896846</v>
      </c>
      <c r="W81" s="42">
        <f t="shared" si="64"/>
        <v>0.64252799176233488</v>
      </c>
      <c r="AM81" s="44"/>
      <c r="AN81" s="44"/>
      <c r="AP81" s="10"/>
    </row>
    <row r="82" spans="2:42" x14ac:dyDescent="0.3">
      <c r="C82" s="2"/>
      <c r="D82" s="2"/>
      <c r="E82" s="28"/>
      <c r="F82" s="28"/>
      <c r="G82" s="28"/>
      <c r="H82" s="28"/>
      <c r="I82" s="28"/>
      <c r="J82" s="28"/>
      <c r="K82" s="28"/>
      <c r="L82" s="28"/>
      <c r="M82" s="28"/>
      <c r="N82" s="28"/>
      <c r="O82" s="28"/>
      <c r="P82" s="28"/>
      <c r="Q82" s="28"/>
      <c r="R82" s="28"/>
      <c r="S82" s="28"/>
      <c r="T82" s="28"/>
      <c r="U82" s="28"/>
      <c r="V82" s="28"/>
      <c r="W82" s="28"/>
      <c r="X82" s="28"/>
      <c r="Y82" s="28"/>
      <c r="Z82" s="28"/>
      <c r="AA82" s="28"/>
      <c r="AB82" s="28"/>
      <c r="AC82" s="28"/>
      <c r="AD82" s="28"/>
      <c r="AE82" s="28"/>
      <c r="AF82" s="28"/>
      <c r="AG82" s="28"/>
      <c r="AH82" s="28"/>
      <c r="AI82" s="28"/>
      <c r="AP82" s="10"/>
    </row>
    <row r="83" spans="2:42" outlineLevel="1" x14ac:dyDescent="0.3">
      <c r="B83" s="1" t="s">
        <v>9</v>
      </c>
      <c r="C83" s="2" t="s">
        <v>114</v>
      </c>
      <c r="D83" s="2"/>
      <c r="E83" s="28"/>
      <c r="F83" s="28">
        <f>F40+F57</f>
        <v>2678.6335519944</v>
      </c>
      <c r="G83" s="28">
        <f>G40+G57</f>
        <v>2902.0142542756075</v>
      </c>
      <c r="H83" s="28">
        <f t="shared" ref="H83:AI83" si="65">H40+H57</f>
        <v>3148.3057482673239</v>
      </c>
      <c r="I83" s="28">
        <f t="shared" si="65"/>
        <v>3419.8247763590562</v>
      </c>
      <c r="J83" s="28">
        <f t="shared" si="65"/>
        <v>3719.1200110442164</v>
      </c>
      <c r="K83" s="28">
        <f t="shared" si="65"/>
        <v>4048.9951011085177</v>
      </c>
      <c r="L83" s="28">
        <f t="shared" si="65"/>
        <v>4412.5339945214182</v>
      </c>
      <c r="M83" s="28">
        <f t="shared" si="65"/>
        <v>4813.1287618558426</v>
      </c>
      <c r="N83" s="28">
        <f t="shared" si="65"/>
        <v>5254.5101659718775</v>
      </c>
      <c r="O83" s="28">
        <f t="shared" si="65"/>
        <v>5594.5104923319268</v>
      </c>
      <c r="P83" s="28">
        <f t="shared" si="65"/>
        <v>5941.6458542852506</v>
      </c>
      <c r="Q83" s="28">
        <f t="shared" si="65"/>
        <v>6497.2092332471893</v>
      </c>
      <c r="R83" s="28">
        <f t="shared" si="65"/>
        <v>7109.0975680444099</v>
      </c>
      <c r="S83" s="28">
        <f t="shared" si="65"/>
        <v>7782.9596682135016</v>
      </c>
      <c r="T83" s="28">
        <f t="shared" si="65"/>
        <v>8525.0063577871188</v>
      </c>
      <c r="U83" s="28">
        <f t="shared" si="65"/>
        <v>9342.0660469309551</v>
      </c>
      <c r="V83" s="28">
        <f t="shared" si="65"/>
        <v>10241.645770651818</v>
      </c>
      <c r="W83" s="28">
        <f t="shared" si="65"/>
        <v>11231.998230039735</v>
      </c>
      <c r="X83" s="28">
        <f t="shared" si="65"/>
        <v>12322.195423735735</v>
      </c>
      <c r="Y83" s="28">
        <f t="shared" si="65"/>
        <v>13522.209514619188</v>
      </c>
      <c r="Z83" s="28">
        <f t="shared" si="65"/>
        <v>14297.027859575104</v>
      </c>
      <c r="AA83" s="28">
        <f t="shared" si="65"/>
        <v>15750.64565917079</v>
      </c>
      <c r="AB83" s="28">
        <f t="shared" si="65"/>
        <v>17350.330379732157</v>
      </c>
      <c r="AC83" s="28">
        <f t="shared" si="65"/>
        <v>19110.634483309892</v>
      </c>
      <c r="AD83" s="28">
        <f t="shared" si="65"/>
        <v>21047.550792072543</v>
      </c>
      <c r="AE83" s="28">
        <f t="shared" si="65"/>
        <v>23178.654293534953</v>
      </c>
      <c r="AF83" s="28">
        <f t="shared" si="65"/>
        <v>25523.257842577292</v>
      </c>
      <c r="AG83" s="28">
        <f t="shared" si="65"/>
        <v>28102.583116365277</v>
      </c>
      <c r="AH83" s="28">
        <f t="shared" si="65"/>
        <v>30939.948310069616</v>
      </c>
      <c r="AI83" s="28">
        <f t="shared" si="65"/>
        <v>34060.974205821534</v>
      </c>
      <c r="AK83" s="4"/>
      <c r="AL83" s="4"/>
      <c r="AM83" s="4"/>
      <c r="AN83" s="4"/>
      <c r="AP83" s="10"/>
    </row>
    <row r="84" spans="2:42" x14ac:dyDescent="0.3">
      <c r="B84" s="1" t="s">
        <v>10</v>
      </c>
      <c r="C84" s="2" t="s">
        <v>12</v>
      </c>
      <c r="D84" s="2"/>
      <c r="E84" s="8"/>
      <c r="F84" s="8">
        <f t="shared" ref="F84:AI84" si="66">IFERROR(-F83/ROUND(F46+F66,5),"")</f>
        <v>0.41641771945273565</v>
      </c>
      <c r="G84" s="8">
        <f t="shared" si="66"/>
        <v>0.26760306534131978</v>
      </c>
      <c r="H84" s="8">
        <f t="shared" si="66"/>
        <v>0.31079816045726438</v>
      </c>
      <c r="I84" s="8">
        <f t="shared" si="66"/>
        <v>0.36323096147057837</v>
      </c>
      <c r="J84" s="8">
        <f t="shared" si="66"/>
        <v>0.427471045060627</v>
      </c>
      <c r="K84" s="8">
        <f t="shared" si="66"/>
        <v>0.50703985506868932</v>
      </c>
      <c r="L84" s="8">
        <f t="shared" si="66"/>
        <v>0.60688202998254126</v>
      </c>
      <c r="M84" s="8">
        <f t="shared" si="66"/>
        <v>0.73414541664599842</v>
      </c>
      <c r="N84" s="8">
        <f t="shared" si="66"/>
        <v>0.89953418479254266</v>
      </c>
      <c r="O84" s="8">
        <f t="shared" si="66"/>
        <v>1.0912628867127054</v>
      </c>
      <c r="P84" s="8" t="str">
        <f t="shared" si="66"/>
        <v/>
      </c>
      <c r="Q84" s="8" t="str">
        <f t="shared" si="66"/>
        <v/>
      </c>
      <c r="R84" s="8" t="str">
        <f t="shared" si="66"/>
        <v/>
      </c>
      <c r="S84" s="8" t="str">
        <f t="shared" si="66"/>
        <v/>
      </c>
      <c r="T84" s="8" t="str">
        <f t="shared" si="66"/>
        <v/>
      </c>
      <c r="U84" s="8" t="str">
        <f t="shared" si="66"/>
        <v/>
      </c>
      <c r="V84" s="8" t="str">
        <f t="shared" si="66"/>
        <v/>
      </c>
      <c r="W84" s="8" t="str">
        <f t="shared" si="66"/>
        <v/>
      </c>
      <c r="X84" s="8" t="str">
        <f t="shared" si="66"/>
        <v/>
      </c>
      <c r="Y84" s="8" t="str">
        <f t="shared" si="66"/>
        <v/>
      </c>
      <c r="Z84" s="8" t="str">
        <f t="shared" si="66"/>
        <v/>
      </c>
      <c r="AA84" s="8" t="str">
        <f t="shared" si="66"/>
        <v/>
      </c>
      <c r="AB84" s="8" t="str">
        <f t="shared" si="66"/>
        <v/>
      </c>
      <c r="AC84" s="8" t="str">
        <f t="shared" si="66"/>
        <v/>
      </c>
      <c r="AD84" s="8" t="str">
        <f t="shared" si="66"/>
        <v/>
      </c>
      <c r="AE84" s="8" t="str">
        <f t="shared" si="66"/>
        <v/>
      </c>
      <c r="AF84" s="8" t="str">
        <f t="shared" si="66"/>
        <v/>
      </c>
      <c r="AG84" s="8" t="str">
        <f t="shared" si="66"/>
        <v/>
      </c>
      <c r="AH84" s="8" t="str">
        <f t="shared" si="66"/>
        <v/>
      </c>
      <c r="AI84" s="8" t="str">
        <f t="shared" si="66"/>
        <v/>
      </c>
      <c r="AK84" s="8"/>
      <c r="AL84" s="8"/>
      <c r="AM84" s="8"/>
      <c r="AN84" s="8"/>
      <c r="AP84" s="10"/>
    </row>
    <row r="85" spans="2:42" x14ac:dyDescent="0.3">
      <c r="B85" s="1" t="s">
        <v>20</v>
      </c>
      <c r="C85" s="2" t="s">
        <v>12</v>
      </c>
      <c r="D85" s="2"/>
      <c r="E85" s="8"/>
      <c r="F85" s="8">
        <f>IFERROR(-SUM(F83:$Y83)/ROUND(SUM(F46:$Y46,F66:$Y66),5),"")</f>
        <v>1.6922511720353022</v>
      </c>
      <c r="G85" s="8">
        <f>IFERROR(-SUM(G83:$Y83)/ROUND(SUM(G46:$Y46,G66:$Y66),5),"")</f>
        <v>1.8064417904787484</v>
      </c>
      <c r="H85" s="8">
        <f>IFERROR(-SUM(H83:$Y83)/ROUND(SUM(H46:$Y46,H66:$Y66),5),"")</f>
        <v>2.0798993950073847</v>
      </c>
      <c r="I85" s="8">
        <f>IFERROR(-SUM(I83:$Y83)/ROUND(SUM(I46:$Y46,I66:$Y66),5),"")</f>
        <v>2.4320020679218435</v>
      </c>
      <c r="J85" s="8">
        <f>IFERROR(-SUM(J83:$Y83)/ROUND(SUM(J46:$Y46,J66:$Y66),5),"")</f>
        <v>2.9015572202968989</v>
      </c>
      <c r="K85" s="8">
        <f>IFERROR(-SUM(K83:$Y83)/ROUND(SUM(K46:$Y46,K66:$Y66),5),"")</f>
        <v>3.5582056635149493</v>
      </c>
      <c r="L85" s="8">
        <f>IFERROR(-SUM(L83:$Y83)/ROUND(SUM(L46:$Y46,L66:$Y66),5),"")</f>
        <v>4.5408765033352188</v>
      </c>
      <c r="M85" s="8">
        <f>IFERROR(-SUM(M83:$Y83)/ROUND(SUM(M46:$Y46,M66:$Y66),5),"")</f>
        <v>6.1731078456404154</v>
      </c>
      <c r="N85" s="8">
        <f>IFERROR(-SUM(N83:$Y83)/ROUND(SUM(N46:$Y46,N66:$Y66),5),"")</f>
        <v>9.4242334177532943</v>
      </c>
      <c r="O85" s="8">
        <f>IFERROR(-SUM(O83:$Y83)/ROUND(SUM(O46:$Y46,O66:$Y66),5),"")</f>
        <v>19.13740188415402</v>
      </c>
      <c r="P85" s="8" t="str">
        <f>IFERROR(-SUM(P83:$Y83)/ROUND(SUM(P46:$Y46,P66:$Y66),5),"")</f>
        <v/>
      </c>
      <c r="Q85" s="8" t="str">
        <f>IFERROR(-SUM(Q83:$Y83)/ROUND(SUM(Q46:$Y46,Q66:$Y66),5),"")</f>
        <v/>
      </c>
      <c r="R85" s="8" t="str">
        <f>IFERROR(-SUM(R83:$Y83)/ROUND(SUM(R46:$Y46,R66:$Y66),5),"")</f>
        <v/>
      </c>
      <c r="S85" s="8" t="str">
        <f>IFERROR(-SUM(S83:$Y83)/ROUND(SUM(S46:$Y46,S66:$Y66),5),"")</f>
        <v/>
      </c>
      <c r="T85" s="8" t="str">
        <f>IFERROR(-SUM(T83:$Y83)/ROUND(SUM(T46:$Y46,T66:$Y66),5),"")</f>
        <v/>
      </c>
      <c r="U85" s="8" t="str">
        <f>IFERROR(-SUM(U83:$Y83)/ROUND(SUM(U46:$Y46,U66:$Y66),5),"")</f>
        <v/>
      </c>
      <c r="V85" s="8" t="str">
        <f>IFERROR(-SUM(V83:$Y83)/ROUND(SUM(V46:$Y46,V66:$Y66),5),"")</f>
        <v/>
      </c>
      <c r="W85" s="8" t="str">
        <f>IFERROR(-SUM(W83:$Y83)/ROUND(SUM(W46:$Y46,W66:$Y66),5),"")</f>
        <v/>
      </c>
      <c r="X85" s="8" t="str">
        <f>IFERROR(-SUM(X83:$Y83)/ROUND(SUM(X46:$Y46,X66:$Y66),5),"")</f>
        <v/>
      </c>
      <c r="Y85" s="8" t="str">
        <f>IFERROR(-SUM(Y83:$Y83)/ROUND(SUM(Y46:$Y46,Y66:$Y66),5),"")</f>
        <v/>
      </c>
      <c r="Z85" s="8" t="str">
        <f>IFERROR(-SUM($Y83:Z83)/ROUND(SUM($Y46:Z46,$Y66:Z66),5),"")</f>
        <v/>
      </c>
      <c r="AA85" s="8" t="str">
        <f>IFERROR(-SUM($Y83:AA83)/ROUND(SUM($Y46:AA46,$Y66:AA66),5),"")</f>
        <v/>
      </c>
      <c r="AB85" s="8" t="str">
        <f>IFERROR(-SUM($Y83:AB83)/ROUND(SUM($Y46:AB46,$Y66:AB66),5),"")</f>
        <v/>
      </c>
      <c r="AC85" s="8" t="str">
        <f>IFERROR(-SUM($Y83:AC83)/ROUND(SUM($Y46:AC46,$Y66:AC66),5),"")</f>
        <v/>
      </c>
      <c r="AD85" s="8" t="str">
        <f>IFERROR(-SUM($Y83:AD83)/ROUND(SUM($Y46:AD46,$Y66:AD66),5),"")</f>
        <v/>
      </c>
      <c r="AE85" s="8" t="str">
        <f>IFERROR(-SUM($Y83:AE83)/ROUND(SUM($Y46:AE46,$Y66:AE66),5),"")</f>
        <v/>
      </c>
      <c r="AF85" s="8" t="str">
        <f>IFERROR(-SUM($Y83:AF83)/ROUND(SUM($Y46:AF46,$Y66:AF66),5),"")</f>
        <v/>
      </c>
      <c r="AG85" s="8" t="str">
        <f>IFERROR(-SUM($Y83:AG83)/ROUND(SUM($Y46:AG46,$Y66:AG66),5),"")</f>
        <v/>
      </c>
      <c r="AH85" s="8" t="str">
        <f>IFERROR(-SUM($Y83:AH83)/ROUND(SUM($Y46:AH46,$Y66:AH66),5),"")</f>
        <v/>
      </c>
      <c r="AI85" s="8" t="str">
        <f>IFERROR(-SUM($Y83:AI83)/ROUND(SUM($Y46:AI46,$Y66:AI66),5),"")</f>
        <v/>
      </c>
      <c r="AP85" s="10"/>
    </row>
    <row r="86" spans="2:42" x14ac:dyDescent="0.3">
      <c r="C86" s="2"/>
      <c r="D86" s="2"/>
      <c r="AP86" s="10"/>
    </row>
    <row r="87" spans="2:42" x14ac:dyDescent="0.3">
      <c r="C87" s="2"/>
      <c r="D87" s="2"/>
      <c r="AP87" s="10"/>
    </row>
    <row r="88" spans="2:42" x14ac:dyDescent="0.3">
      <c r="C88" s="2"/>
      <c r="D88" s="2"/>
      <c r="AP88" s="10"/>
    </row>
    <row r="89" spans="2:42" collapsed="1" x14ac:dyDescent="0.3">
      <c r="C89" s="2"/>
      <c r="D89" s="2"/>
      <c r="AP89" s="10"/>
    </row>
    <row r="90" spans="2:42" hidden="1" outlineLevel="1" x14ac:dyDescent="0.3">
      <c r="B90" s="12" t="s">
        <v>29</v>
      </c>
      <c r="C90" s="12" t="s">
        <v>21</v>
      </c>
      <c r="D90" s="14"/>
      <c r="E90" s="33"/>
      <c r="F90" s="33">
        <v>5.0000000000000001E-3</v>
      </c>
      <c r="G90" s="33">
        <v>0.01</v>
      </c>
      <c r="H90" s="33">
        <v>1.4999999999999999E-2</v>
      </c>
      <c r="I90" s="33">
        <v>0.02</v>
      </c>
      <c r="J90" s="33">
        <v>2.5000000000000001E-2</v>
      </c>
      <c r="K90" s="33">
        <v>0.03</v>
      </c>
      <c r="L90" s="33">
        <v>3.5000000000000003E-2</v>
      </c>
      <c r="M90" s="33">
        <v>0.04</v>
      </c>
      <c r="N90" s="33">
        <v>4.4999999999999998E-2</v>
      </c>
      <c r="O90" s="33">
        <v>0.05</v>
      </c>
      <c r="P90" s="33">
        <v>5.5E-2</v>
      </c>
      <c r="Q90" s="33">
        <v>0.06</v>
      </c>
      <c r="R90" s="33">
        <v>6.5000000000000002E-2</v>
      </c>
      <c r="S90" s="33">
        <v>7.0000000000000007E-2</v>
      </c>
      <c r="T90" s="33">
        <v>7.4999999999999997E-2</v>
      </c>
      <c r="U90" s="33">
        <v>0.08</v>
      </c>
      <c r="V90" s="33">
        <v>8.5000000000000006E-2</v>
      </c>
      <c r="W90" s="33">
        <v>0.09</v>
      </c>
      <c r="X90" s="33">
        <v>9.5000000000000001E-2</v>
      </c>
      <c r="Y90" s="33">
        <v>0.1</v>
      </c>
      <c r="Z90" s="33">
        <v>0.105</v>
      </c>
      <c r="AA90" s="33">
        <v>0.11</v>
      </c>
      <c r="AB90" s="33">
        <v>0.115</v>
      </c>
      <c r="AC90" s="33">
        <v>0.12</v>
      </c>
      <c r="AD90" s="33">
        <v>0.125</v>
      </c>
      <c r="AE90" s="33">
        <v>0.13</v>
      </c>
      <c r="AF90" s="33">
        <v>0.13500000000000001</v>
      </c>
      <c r="AG90" s="33">
        <v>0.14000000000000001</v>
      </c>
      <c r="AH90" s="33">
        <v>0.14499999999999999</v>
      </c>
      <c r="AI90" s="33">
        <v>0.15</v>
      </c>
      <c r="AK90" s="12"/>
      <c r="AL90" s="12"/>
      <c r="AM90" s="12"/>
      <c r="AN90" s="12"/>
      <c r="AP90" s="10"/>
    </row>
    <row r="91" spans="2:42" hidden="1" outlineLevel="1" x14ac:dyDescent="0.3">
      <c r="B91" s="1" t="s">
        <v>30</v>
      </c>
      <c r="C91" s="1" t="s">
        <v>55</v>
      </c>
      <c r="E91" s="28"/>
      <c r="F91" s="28">
        <f>XNPV(F$90,$F$80:$Y$80,$F$23:$Y$23)</f>
        <v>49726.508415628567</v>
      </c>
      <c r="G91" s="28">
        <f t="shared" ref="G91:AI91" si="67">XNPV(G$90,$F$80:$Y$80,$F$23:$Y$23)</f>
        <v>45639.608138735945</v>
      </c>
      <c r="H91" s="28">
        <f t="shared" si="67"/>
        <v>41908.23985788766</v>
      </c>
      <c r="I91" s="28">
        <f t="shared" si="67"/>
        <v>38499.796840769326</v>
      </c>
      <c r="J91" s="28">
        <f t="shared" si="67"/>
        <v>35384.814023986779</v>
      </c>
      <c r="K91" s="28">
        <f t="shared" si="67"/>
        <v>32536.650984721033</v>
      </c>
      <c r="L91" s="28">
        <f t="shared" si="67"/>
        <v>29931.208326575859</v>
      </c>
      <c r="M91" s="28">
        <f t="shared" si="67"/>
        <v>27546.673810196819</v>
      </c>
      <c r="N91" s="28">
        <f t="shared" si="67"/>
        <v>25363.294978180456</v>
      </c>
      <c r="O91" s="28">
        <f t="shared" si="67"/>
        <v>23363.175393090369</v>
      </c>
      <c r="P91" s="28">
        <f t="shared" si="67"/>
        <v>21530.091933171967</v>
      </c>
      <c r="Q91" s="28">
        <f t="shared" si="67"/>
        <v>19849.330877898436</v>
      </c>
      <c r="R91" s="28">
        <f t="shared" si="67"/>
        <v>18307.540769456751</v>
      </c>
      <c r="S91" s="28">
        <f t="shared" si="67"/>
        <v>16892.600260732823</v>
      </c>
      <c r="T91" s="28">
        <f t="shared" si="67"/>
        <v>15593.499358853245</v>
      </c>
      <c r="U91" s="28">
        <f t="shared" si="67"/>
        <v>14400.232648978852</v>
      </c>
      <c r="V91" s="28">
        <f t="shared" si="67"/>
        <v>13303.703238566048</v>
      </c>
      <c r="W91" s="28">
        <f t="shared" si="67"/>
        <v>12295.636300087725</v>
      </c>
      <c r="X91" s="28">
        <f t="shared" si="67"/>
        <v>11368.501212348021</v>
      </c>
      <c r="Y91" s="28">
        <f t="shared" si="67"/>
        <v>10515.441408859577</v>
      </c>
      <c r="Z91" s="28">
        <f t="shared" si="67"/>
        <v>9730.2111379071684</v>
      </c>
      <c r="AA91" s="28">
        <f t="shared" si="67"/>
        <v>9007.1184243057833</v>
      </c>
      <c r="AB91" s="28">
        <f t="shared" si="67"/>
        <v>8340.9735987343829</v>
      </c>
      <c r="AC91" s="28">
        <f t="shared" si="67"/>
        <v>7727.0428279777316</v>
      </c>
      <c r="AD91" s="28">
        <f t="shared" si="67"/>
        <v>7161.0061394144104</v>
      </c>
      <c r="AE91" s="28">
        <f t="shared" si="67"/>
        <v>6638.9194864942992</v>
      </c>
      <c r="AF91" s="28">
        <f t="shared" si="67"/>
        <v>6157.1804495118249</v>
      </c>
      <c r="AG91" s="28">
        <f t="shared" si="67"/>
        <v>5712.4972083597522</v>
      </c>
      <c r="AH91" s="28">
        <f t="shared" si="67"/>
        <v>5301.8604617308747</v>
      </c>
      <c r="AI91" s="28">
        <f t="shared" si="67"/>
        <v>4922.518000937368</v>
      </c>
      <c r="AP91" s="10"/>
    </row>
    <row r="92" spans="2:42" hidden="1" outlineLevel="1" x14ac:dyDescent="0.3">
      <c r="B92" s="1" t="s">
        <v>31</v>
      </c>
      <c r="C92" s="1" t="s">
        <v>55</v>
      </c>
      <c r="E92" s="28"/>
      <c r="F92" s="28">
        <f t="shared" ref="F92:AI92" si="68">XNPV(F$90,$F$80:$AD$80,$F$23:$AD$23)</f>
        <v>128104.59670448575</v>
      </c>
      <c r="G92" s="28">
        <f t="shared" si="68"/>
        <v>115843.69611207279</v>
      </c>
      <c r="H92" s="28">
        <f t="shared" si="68"/>
        <v>104828.05081928699</v>
      </c>
      <c r="I92" s="28">
        <f t="shared" si="68"/>
        <v>94924.213681589143</v>
      </c>
      <c r="J92" s="28">
        <f t="shared" si="68"/>
        <v>86013.754678431433</v>
      </c>
      <c r="K92" s="28">
        <f t="shared" si="68"/>
        <v>77991.493565338475</v>
      </c>
      <c r="L92" s="28">
        <f t="shared" si="68"/>
        <v>70763.949302997324</v>
      </c>
      <c r="M92" s="28">
        <f t="shared" si="68"/>
        <v>64247.97863349117</v>
      </c>
      <c r="N92" s="28">
        <f t="shared" si="68"/>
        <v>58369.579824040047</v>
      </c>
      <c r="O92" s="28">
        <f t="shared" si="68"/>
        <v>53062.840750052186</v>
      </c>
      <c r="P92" s="28">
        <f t="shared" si="68"/>
        <v>48269.013212372854</v>
      </c>
      <c r="Q92" s="28">
        <f t="shared" si="68"/>
        <v>43935.697738383911</v>
      </c>
      <c r="R92" s="28">
        <f t="shared" si="68"/>
        <v>40016.125154552043</v>
      </c>
      <c r="S92" s="28">
        <f t="shared" si="68"/>
        <v>36468.522983106377</v>
      </c>
      <c r="T92" s="28">
        <f t="shared" si="68"/>
        <v>33255.556245522384</v>
      </c>
      <c r="U92" s="28">
        <f t="shared" si="68"/>
        <v>30343.833582690484</v>
      </c>
      <c r="V92" s="28">
        <f t="shared" si="68"/>
        <v>27703.470753857211</v>
      </c>
      <c r="W92" s="28">
        <f t="shared" si="68"/>
        <v>25307.704577440149</v>
      </c>
      <c r="X92" s="28">
        <f t="shared" si="68"/>
        <v>23132.5512471652</v>
      </c>
      <c r="Y92" s="28">
        <f t="shared" si="68"/>
        <v>21156.503714246679</v>
      </c>
      <c r="Z92" s="28">
        <f t="shared" si="68"/>
        <v>19360.263485734402</v>
      </c>
      <c r="AA92" s="28">
        <f t="shared" si="68"/>
        <v>17726.502763732165</v>
      </c>
      <c r="AB92" s="28">
        <f t="shared" si="68"/>
        <v>16239.653351248082</v>
      </c>
      <c r="AC92" s="28">
        <f t="shared" si="68"/>
        <v>14885.719187672199</v>
      </c>
      <c r="AD92" s="28">
        <f t="shared" si="68"/>
        <v>13652.109758712031</v>
      </c>
      <c r="AE92" s="28">
        <f t="shared" si="68"/>
        <v>12527.491959291861</v>
      </c>
      <c r="AF92" s="28">
        <f t="shared" si="68"/>
        <v>11501.658279731044</v>
      </c>
      <c r="AG92" s="28">
        <f t="shared" si="68"/>
        <v>10565.409440880259</v>
      </c>
      <c r="AH92" s="28">
        <f t="shared" si="68"/>
        <v>9710.449827526194</v>
      </c>
      <c r="AI92" s="28">
        <f t="shared" si="68"/>
        <v>8929.2942653504251</v>
      </c>
    </row>
    <row r="93" spans="2:42" hidden="1" outlineLevel="1" x14ac:dyDescent="0.3">
      <c r="B93" s="12" t="s">
        <v>32</v>
      </c>
      <c r="C93" s="12" t="s">
        <v>55</v>
      </c>
      <c r="D93" s="14"/>
      <c r="E93" s="34"/>
      <c r="F93" s="34">
        <f t="shared" ref="F93:AI93" si="69">XNPV(F$90,$F$80:$AI$80,$F$23:$AI$23)</f>
        <v>251917.28600483114</v>
      </c>
      <c r="G93" s="34">
        <f t="shared" si="69"/>
        <v>224024.74418190183</v>
      </c>
      <c r="H93" s="34">
        <f t="shared" si="69"/>
        <v>199418.59588662194</v>
      </c>
      <c r="I93" s="34">
        <f t="shared" si="69"/>
        <v>177690.15420907902</v>
      </c>
      <c r="J93" s="34">
        <f t="shared" si="69"/>
        <v>158484.02430380168</v>
      </c>
      <c r="K93" s="34">
        <f t="shared" si="69"/>
        <v>141490.85425867274</v>
      </c>
      <c r="L93" s="34">
        <f t="shared" si="69"/>
        <v>126441.11037301447</v>
      </c>
      <c r="M93" s="34">
        <f t="shared" si="69"/>
        <v>113099.72694856772</v>
      </c>
      <c r="N93" s="34">
        <f t="shared" si="69"/>
        <v>101261.50334731847</v>
      </c>
      <c r="O93" s="34">
        <f t="shared" si="69"/>
        <v>90747.140193682819</v>
      </c>
      <c r="P93" s="34">
        <f t="shared" si="69"/>
        <v>81399.822760343101</v>
      </c>
      <c r="Q93" s="34">
        <f t="shared" si="69"/>
        <v>73082.273248727201</v>
      </c>
      <c r="R93" s="34">
        <f t="shared" si="69"/>
        <v>65674.205251544758</v>
      </c>
      <c r="S93" s="34">
        <f t="shared" si="69"/>
        <v>59070.123496221117</v>
      </c>
      <c r="T93" s="34">
        <f t="shared" si="69"/>
        <v>53177.420291511924</v>
      </c>
      <c r="U93" s="34">
        <f t="shared" si="69"/>
        <v>47914.727167198806</v>
      </c>
      <c r="V93" s="34">
        <f t="shared" si="69"/>
        <v>43210.486203672081</v>
      </c>
      <c r="W93" s="34">
        <f t="shared" si="69"/>
        <v>39001.71065821081</v>
      </c>
      <c r="X93" s="34">
        <f t="shared" si="69"/>
        <v>35232.908845823724</v>
      </c>
      <c r="Y93" s="34">
        <f t="shared" si="69"/>
        <v>31855.148940634779</v>
      </c>
      <c r="Z93" s="34">
        <f t="shared" si="69"/>
        <v>28825.245526882285</v>
      </c>
      <c r="AA93" s="34">
        <f t="shared" si="69"/>
        <v>26105.051429126845</v>
      </c>
      <c r="AB93" s="34">
        <f t="shared" si="69"/>
        <v>23660.840658957877</v>
      </c>
      <c r="AC93" s="34">
        <f t="shared" si="69"/>
        <v>21462.770289197939</v>
      </c>
      <c r="AD93" s="34">
        <f t="shared" si="69"/>
        <v>19484.410756171415</v>
      </c>
      <c r="AE93" s="34">
        <f t="shared" si="69"/>
        <v>17702.335538166197</v>
      </c>
      <c r="AF93" s="34">
        <f t="shared" si="69"/>
        <v>16095.762399530513</v>
      </c>
      <c r="AG93" s="34">
        <f t="shared" si="69"/>
        <v>14646.239455193343</v>
      </c>
      <c r="AH93" s="34">
        <f t="shared" si="69"/>
        <v>13337.370225510092</v>
      </c>
      <c r="AI93" s="34">
        <f t="shared" si="69"/>
        <v>12154.572638063024</v>
      </c>
      <c r="AK93" s="12"/>
      <c r="AL93" s="12"/>
      <c r="AM93" s="12"/>
      <c r="AN93" s="12"/>
    </row>
    <row r="94" spans="2:42" hidden="1" outlineLevel="1" x14ac:dyDescent="0.3"/>
    <row r="95" spans="2:42" hidden="1" outlineLevel="1" x14ac:dyDescent="0.3">
      <c r="B95" s="12" t="s">
        <v>28</v>
      </c>
      <c r="C95" s="12" t="s">
        <v>21</v>
      </c>
      <c r="D95" s="14"/>
      <c r="E95" s="33"/>
      <c r="F95" s="33">
        <v>5.0000000000000001E-3</v>
      </c>
      <c r="G95" s="33">
        <v>0.01</v>
      </c>
      <c r="H95" s="33">
        <v>1.4999999999999999E-2</v>
      </c>
      <c r="I95" s="33">
        <v>0.02</v>
      </c>
      <c r="J95" s="33">
        <v>2.5000000000000001E-2</v>
      </c>
      <c r="K95" s="33">
        <v>0.03</v>
      </c>
      <c r="L95" s="33">
        <v>3.5000000000000003E-2</v>
      </c>
      <c r="M95" s="33">
        <v>0.04</v>
      </c>
      <c r="N95" s="33">
        <v>4.4999999999999998E-2</v>
      </c>
      <c r="O95" s="33">
        <v>0.05</v>
      </c>
      <c r="P95" s="33">
        <v>5.5E-2</v>
      </c>
      <c r="Q95" s="33">
        <v>0.06</v>
      </c>
      <c r="R95" s="33">
        <v>6.5000000000000002E-2</v>
      </c>
      <c r="S95" s="33">
        <v>7.0000000000000007E-2</v>
      </c>
      <c r="T95" s="33">
        <v>7.4999999999999997E-2</v>
      </c>
      <c r="U95" s="33">
        <v>0.08</v>
      </c>
      <c r="V95" s="33">
        <v>8.5000000000000006E-2</v>
      </c>
      <c r="W95" s="33">
        <v>0.09</v>
      </c>
      <c r="X95" s="33">
        <v>9.5000000000000001E-2</v>
      </c>
      <c r="Y95" s="33">
        <v>0.1</v>
      </c>
      <c r="Z95" s="33">
        <v>0.105</v>
      </c>
      <c r="AA95" s="33">
        <v>0.11</v>
      </c>
      <c r="AB95" s="33">
        <v>0.115</v>
      </c>
      <c r="AC95" s="33">
        <v>0.12</v>
      </c>
      <c r="AD95" s="33">
        <v>0.125</v>
      </c>
      <c r="AE95" s="33">
        <v>0.13</v>
      </c>
      <c r="AF95" s="33">
        <v>0.13500000000000001</v>
      </c>
      <c r="AG95" s="33">
        <v>0.14000000000000001</v>
      </c>
      <c r="AH95" s="33">
        <v>0.14499999999999999</v>
      </c>
      <c r="AI95" s="33">
        <v>0.15</v>
      </c>
    </row>
    <row r="96" spans="2:42" hidden="1" outlineLevel="1" x14ac:dyDescent="0.3">
      <c r="B96" s="1" t="s">
        <v>22</v>
      </c>
      <c r="C96" s="1" t="s">
        <v>55</v>
      </c>
      <c r="E96" s="28"/>
      <c r="F96" s="28">
        <f t="shared" ref="F96:AI96" si="70">XNPV(F$90,$F$78:$Y$78,$F$23:$Y$23)</f>
        <v>144192.14536666329</v>
      </c>
      <c r="G96" s="28">
        <f t="shared" si="70"/>
        <v>135609.47926155728</v>
      </c>
      <c r="H96" s="28">
        <f t="shared" si="70"/>
        <v>127665.68032243935</v>
      </c>
      <c r="I96" s="28">
        <f t="shared" si="70"/>
        <v>120307.55576931304</v>
      </c>
      <c r="J96" s="28">
        <f t="shared" si="70"/>
        <v>113486.71397932459</v>
      </c>
      <c r="K96" s="28">
        <f t="shared" si="70"/>
        <v>107159.10196425016</v>
      </c>
      <c r="L96" s="28">
        <f t="shared" si="70"/>
        <v>101284.58996127793</v>
      </c>
      <c r="M96" s="28">
        <f t="shared" si="70"/>
        <v>95826.598094851259</v>
      </c>
      <c r="N96" s="28">
        <f t="shared" si="70"/>
        <v>90751.760631711135</v>
      </c>
      <c r="O96" s="28">
        <f t="shared" si="70"/>
        <v>86029.623849791737</v>
      </c>
      <c r="P96" s="28">
        <f t="shared" si="70"/>
        <v>81632.373982324847</v>
      </c>
      <c r="Q96" s="28">
        <f t="shared" si="70"/>
        <v>77534.592088311008</v>
      </c>
      <c r="R96" s="28">
        <f t="shared" si="70"/>
        <v>73713.0330455777</v>
      </c>
      <c r="S96" s="28">
        <f t="shared" si="70"/>
        <v>70146.426168256206</v>
      </c>
      <c r="T96" s="28">
        <f t="shared" si="70"/>
        <v>66815.295221405046</v>
      </c>
      <c r="U96" s="28">
        <f t="shared" si="70"/>
        <v>63701.795845743472</v>
      </c>
      <c r="V96" s="28">
        <f t="shared" si="70"/>
        <v>60789.568618684534</v>
      </c>
      <c r="W96" s="28">
        <f t="shared" si="70"/>
        <v>58063.606167191334</v>
      </c>
      <c r="X96" s="28">
        <f t="shared" si="70"/>
        <v>55510.132916244271</v>
      </c>
      <c r="Y96" s="28">
        <f t="shared" si="70"/>
        <v>53116.496206305223</v>
      </c>
      <c r="Z96" s="28">
        <f t="shared" si="70"/>
        <v>50871.067646282972</v>
      </c>
      <c r="AA96" s="28">
        <f t="shared" si="70"/>
        <v>48763.153687002152</v>
      </c>
      <c r="AB96" s="28">
        <f t="shared" si="70"/>
        <v>46782.914505753935</v>
      </c>
      <c r="AC96" s="28">
        <f t="shared" si="70"/>
        <v>44921.290386601198</v>
      </c>
      <c r="AD96" s="28">
        <f t="shared" si="70"/>
        <v>43169.934865047893</v>
      </c>
      <c r="AE96" s="28">
        <f t="shared" si="70"/>
        <v>41521.153980580872</v>
      </c>
      <c r="AF96" s="28">
        <f t="shared" si="70"/>
        <v>39967.85104748539</v>
      </c>
      <c r="AG96" s="28">
        <f t="shared" si="70"/>
        <v>38503.476414099394</v>
      </c>
      <c r="AH96" s="28">
        <f t="shared" si="70"/>
        <v>37121.981734104455</v>
      </c>
      <c r="AI96" s="28">
        <f t="shared" si="70"/>
        <v>35817.778321252445</v>
      </c>
    </row>
    <row r="97" spans="2:40" hidden="1" outlineLevel="1" x14ac:dyDescent="0.3">
      <c r="B97" s="1" t="s">
        <v>23</v>
      </c>
      <c r="C97" s="1" t="s">
        <v>55</v>
      </c>
      <c r="E97" s="28"/>
      <c r="F97" s="28">
        <f t="shared" ref="F97:AI97" si="71">XNPV(F$90,$F$78:$AD$78,$F$23:$AD$23)</f>
        <v>244676.87394212119</v>
      </c>
      <c r="G97" s="28">
        <f t="shared" si="71"/>
        <v>225614.72025301476</v>
      </c>
      <c r="H97" s="28">
        <f t="shared" si="71"/>
        <v>208332.10463192567</v>
      </c>
      <c r="I97" s="28">
        <f t="shared" si="71"/>
        <v>192646.55171908202</v>
      </c>
      <c r="J97" s="28">
        <f t="shared" si="71"/>
        <v>178395.61225425362</v>
      </c>
      <c r="K97" s="28">
        <f t="shared" si="71"/>
        <v>165434.54117016995</v>
      </c>
      <c r="L97" s="28">
        <f t="shared" si="71"/>
        <v>153634.25787976698</v>
      </c>
      <c r="M97" s="28">
        <f t="shared" si="71"/>
        <v>142879.5529965107</v>
      </c>
      <c r="N97" s="28">
        <f t="shared" si="71"/>
        <v>133067.51043409522</v>
      </c>
      <c r="O97" s="28">
        <f t="shared" si="71"/>
        <v>124106.11789717869</v>
      </c>
      <c r="P97" s="28">
        <f t="shared" si="71"/>
        <v>115913.04228899267</v>
      </c>
      <c r="Q97" s="28">
        <f t="shared" si="71"/>
        <v>108414.54960175394</v>
      </c>
      <c r="R97" s="28">
        <f t="shared" si="71"/>
        <v>101544.55148800756</v>
      </c>
      <c r="S97" s="28">
        <f t="shared" si="71"/>
        <v>95243.762991812051</v>
      </c>
      <c r="T97" s="28">
        <f t="shared" si="71"/>
        <v>89458.957896621898</v>
      </c>
      <c r="U97" s="28">
        <f t="shared" si="71"/>
        <v>84142.309863322473</v>
      </c>
      <c r="V97" s="28">
        <f t="shared" si="71"/>
        <v>79250.809022903966</v>
      </c>
      <c r="W97" s="28">
        <f t="shared" si="71"/>
        <v>74745.744984309815</v>
      </c>
      <c r="X97" s="28">
        <f t="shared" si="71"/>
        <v>70592.248345497064</v>
      </c>
      <c r="Y97" s="28">
        <f t="shared" si="71"/>
        <v>66758.883777314331</v>
      </c>
      <c r="Z97" s="28">
        <f t="shared" si="71"/>
        <v>63217.288605035828</v>
      </c>
      <c r="AA97" s="28">
        <f t="shared" si="71"/>
        <v>59941.851558061615</v>
      </c>
      <c r="AB97" s="28">
        <f t="shared" si="71"/>
        <v>56909.427008976629</v>
      </c>
      <c r="AC97" s="28">
        <f t="shared" si="71"/>
        <v>54099.080591337683</v>
      </c>
      <c r="AD97" s="28">
        <f t="shared" si="71"/>
        <v>51491.862582096132</v>
      </c>
      <c r="AE97" s="28">
        <f t="shared" si="71"/>
        <v>49070.60586878287</v>
      </c>
      <c r="AF97" s="28">
        <f t="shared" si="71"/>
        <v>46819.745701612599</v>
      </c>
      <c r="AG97" s="28">
        <f t="shared" si="71"/>
        <v>44725.158763484658</v>
      </c>
      <c r="AH97" s="28">
        <f t="shared" si="71"/>
        <v>42774.019382559985</v>
      </c>
      <c r="AI97" s="28">
        <f t="shared" si="71"/>
        <v>40954.670967935846</v>
      </c>
    </row>
    <row r="98" spans="2:40" hidden="1" outlineLevel="1" x14ac:dyDescent="0.3">
      <c r="B98" s="12" t="s">
        <v>24</v>
      </c>
      <c r="C98" s="12" t="s">
        <v>55</v>
      </c>
      <c r="D98" s="14"/>
      <c r="E98" s="34"/>
      <c r="F98" s="34">
        <f t="shared" ref="F98:AI98" si="72">XNPV(F$90,$F$78:$AI$78,$F$23:$AI$23)</f>
        <v>403411.09099384607</v>
      </c>
      <c r="G98" s="34">
        <f t="shared" si="72"/>
        <v>364308.37162459042</v>
      </c>
      <c r="H98" s="34">
        <f t="shared" si="72"/>
        <v>329602.03420543205</v>
      </c>
      <c r="I98" s="34">
        <f t="shared" si="72"/>
        <v>298756.73188253056</v>
      </c>
      <c r="J98" s="34">
        <f t="shared" si="72"/>
        <v>271306.21433806163</v>
      </c>
      <c r="K98" s="34">
        <f t="shared" si="72"/>
        <v>246843.97795649592</v>
      </c>
      <c r="L98" s="34">
        <f t="shared" si="72"/>
        <v>225015.23361055815</v>
      </c>
      <c r="M98" s="34">
        <f t="shared" si="72"/>
        <v>205509.99955430109</v>
      </c>
      <c r="N98" s="34">
        <f t="shared" si="72"/>
        <v>188057.15597675988</v>
      </c>
      <c r="O98" s="34">
        <f t="shared" si="72"/>
        <v>172419.32231208976</v>
      </c>
      <c r="P98" s="34">
        <f t="shared" si="72"/>
        <v>158388.43914536474</v>
      </c>
      <c r="Q98" s="34">
        <f t="shared" si="72"/>
        <v>145781.95410219408</v>
      </c>
      <c r="R98" s="34">
        <f t="shared" si="72"/>
        <v>134439.52597133155</v>
      </c>
      <c r="S98" s="34">
        <f t="shared" si="72"/>
        <v>124220.17390606171</v>
      </c>
      <c r="T98" s="34">
        <f t="shared" si="72"/>
        <v>114999.80923763412</v>
      </c>
      <c r="U98" s="34">
        <f t="shared" si="72"/>
        <v>106669.09651012803</v>
      </c>
      <c r="V98" s="34">
        <f t="shared" si="72"/>
        <v>99131.59806112817</v>
      </c>
      <c r="W98" s="34">
        <f t="shared" si="72"/>
        <v>92302.163036579892</v>
      </c>
      <c r="X98" s="34">
        <f t="shared" si="72"/>
        <v>86105.527318136199</v>
      </c>
      <c r="Y98" s="34">
        <f t="shared" si="72"/>
        <v>80475.095606017014</v>
      </c>
      <c r="Z98" s="34">
        <f t="shared" si="72"/>
        <v>75351.880965481832</v>
      </c>
      <c r="AA98" s="34">
        <f t="shared" si="72"/>
        <v>70683.580616259918</v>
      </c>
      <c r="AB98" s="34">
        <f t="shared" si="72"/>
        <v>66423.769711168672</v>
      </c>
      <c r="AC98" s="34">
        <f t="shared" si="72"/>
        <v>62531.19738816555</v>
      </c>
      <c r="AD98" s="34">
        <f t="shared" si="72"/>
        <v>58969.171553197913</v>
      </c>
      <c r="AE98" s="34">
        <f t="shared" si="72"/>
        <v>55705.020713493555</v>
      </c>
      <c r="AF98" s="34">
        <f t="shared" si="72"/>
        <v>52709.622778278586</v>
      </c>
      <c r="AG98" s="34">
        <f t="shared" si="72"/>
        <v>49956.992115168105</v>
      </c>
      <c r="AH98" s="34">
        <f t="shared" si="72"/>
        <v>47423.917328693198</v>
      </c>
      <c r="AI98" s="34">
        <f t="shared" si="72"/>
        <v>45089.643240644305</v>
      </c>
    </row>
    <row r="99" spans="2:40" hidden="1" outlineLevel="1" x14ac:dyDescent="0.3"/>
    <row r="100" spans="2:40" hidden="1" outlineLevel="1" x14ac:dyDescent="0.3">
      <c r="B100" s="12" t="s">
        <v>33</v>
      </c>
      <c r="C100" s="12" t="s">
        <v>21</v>
      </c>
      <c r="D100" s="14"/>
      <c r="E100" s="33"/>
      <c r="F100" s="33">
        <v>5.0000000000000001E-3</v>
      </c>
      <c r="G100" s="33">
        <v>0.01</v>
      </c>
      <c r="H100" s="33">
        <v>1.4999999999999999E-2</v>
      </c>
      <c r="I100" s="33">
        <v>0.02</v>
      </c>
      <c r="J100" s="33">
        <v>2.5000000000000001E-2</v>
      </c>
      <c r="K100" s="33">
        <v>0.03</v>
      </c>
      <c r="L100" s="33">
        <v>3.5000000000000003E-2</v>
      </c>
      <c r="M100" s="33">
        <v>0.04</v>
      </c>
      <c r="N100" s="33">
        <v>4.4999999999999998E-2</v>
      </c>
      <c r="O100" s="33">
        <v>0.05</v>
      </c>
      <c r="P100" s="33">
        <v>5.5E-2</v>
      </c>
      <c r="Q100" s="33">
        <v>0.06</v>
      </c>
      <c r="R100" s="33">
        <v>6.5000000000000002E-2</v>
      </c>
      <c r="S100" s="33">
        <v>7.0000000000000007E-2</v>
      </c>
      <c r="T100" s="33">
        <v>7.4999999999999997E-2</v>
      </c>
      <c r="U100" s="33">
        <v>0.08</v>
      </c>
      <c r="V100" s="33">
        <v>8.5000000000000006E-2</v>
      </c>
      <c r="W100" s="33">
        <v>0.09</v>
      </c>
      <c r="X100" s="33">
        <v>9.5000000000000001E-2</v>
      </c>
      <c r="Y100" s="33">
        <v>0.1</v>
      </c>
      <c r="Z100" s="33">
        <v>0.105</v>
      </c>
      <c r="AA100" s="33">
        <v>0.11</v>
      </c>
      <c r="AB100" s="33">
        <v>0.115</v>
      </c>
      <c r="AC100" s="33">
        <v>0.12</v>
      </c>
      <c r="AD100" s="33">
        <v>0.125</v>
      </c>
      <c r="AE100" s="33">
        <v>0.13</v>
      </c>
      <c r="AF100" s="33">
        <v>0.13500000000000001</v>
      </c>
      <c r="AG100" s="33">
        <v>0.14000000000000001</v>
      </c>
      <c r="AH100" s="33">
        <v>0.14499999999999999</v>
      </c>
      <c r="AI100" s="33">
        <v>0.15</v>
      </c>
    </row>
    <row r="101" spans="2:40" hidden="1" outlineLevel="1" x14ac:dyDescent="0.3">
      <c r="B101" s="1" t="s">
        <v>22</v>
      </c>
      <c r="C101" s="1" t="s">
        <v>56</v>
      </c>
      <c r="E101" s="28"/>
      <c r="F101" s="28">
        <f>F96/$I$5*1000</f>
        <v>12016.012113888606</v>
      </c>
      <c r="G101" s="28">
        <f t="shared" ref="G101:AI101" si="73">G96/$I$5*1000</f>
        <v>11300.789938463105</v>
      </c>
      <c r="H101" s="28">
        <f t="shared" si="73"/>
        <v>10638.806693536611</v>
      </c>
      <c r="I101" s="28">
        <f t="shared" si="73"/>
        <v>10025.629647442755</v>
      </c>
      <c r="J101" s="28">
        <f t="shared" si="73"/>
        <v>9457.226164943715</v>
      </c>
      <c r="K101" s="28">
        <f t="shared" si="73"/>
        <v>8929.9251636875142</v>
      </c>
      <c r="L101" s="28">
        <f t="shared" si="73"/>
        <v>8440.3824967731616</v>
      </c>
      <c r="M101" s="28">
        <f t="shared" si="73"/>
        <v>7985.5498412376046</v>
      </c>
      <c r="N101" s="28">
        <f t="shared" si="73"/>
        <v>7562.6467193092612</v>
      </c>
      <c r="O101" s="28">
        <f t="shared" si="73"/>
        <v>7169.135320815978</v>
      </c>
      <c r="P101" s="28">
        <f t="shared" si="73"/>
        <v>6802.6978318604042</v>
      </c>
      <c r="Q101" s="28">
        <f t="shared" si="73"/>
        <v>6461.2160073592504</v>
      </c>
      <c r="R101" s="28">
        <f t="shared" si="73"/>
        <v>6142.7527537981423</v>
      </c>
      <c r="S101" s="28">
        <f t="shared" si="73"/>
        <v>5845.5355140213505</v>
      </c>
      <c r="T101" s="28">
        <f t="shared" si="73"/>
        <v>5567.9412684504205</v>
      </c>
      <c r="U101" s="28">
        <f t="shared" si="73"/>
        <v>5308.4829871452894</v>
      </c>
      <c r="V101" s="28">
        <f t="shared" si="73"/>
        <v>5065.7973848903785</v>
      </c>
      <c r="W101" s="28">
        <f t="shared" si="73"/>
        <v>4838.6338472659445</v>
      </c>
      <c r="X101" s="28">
        <f t="shared" si="73"/>
        <v>4625.8444096870226</v>
      </c>
      <c r="Y101" s="28">
        <f t="shared" si="73"/>
        <v>4426.3746838587685</v>
      </c>
      <c r="Z101" s="28">
        <f t="shared" si="73"/>
        <v>4239.2556371902483</v>
      </c>
      <c r="AA101" s="28">
        <f t="shared" si="73"/>
        <v>4063.5961405835124</v>
      </c>
      <c r="AB101" s="28">
        <f t="shared" si="73"/>
        <v>3898.5762088128276</v>
      </c>
      <c r="AC101" s="28">
        <f t="shared" si="73"/>
        <v>3743.4408655500997</v>
      </c>
      <c r="AD101" s="28">
        <f t="shared" si="73"/>
        <v>3597.4945720873243</v>
      </c>
      <c r="AE101" s="28">
        <f t="shared" si="73"/>
        <v>3460.096165048406</v>
      </c>
      <c r="AF101" s="28">
        <f t="shared" si="73"/>
        <v>3330.654253957116</v>
      </c>
      <c r="AG101" s="28">
        <f t="shared" si="73"/>
        <v>3208.6230345082827</v>
      </c>
      <c r="AH101" s="28">
        <f t="shared" si="73"/>
        <v>3093.4984778420376</v>
      </c>
      <c r="AI101" s="28">
        <f t="shared" si="73"/>
        <v>2984.8148601043704</v>
      </c>
    </row>
    <row r="102" spans="2:40" hidden="1" outlineLevel="1" x14ac:dyDescent="0.3">
      <c r="B102" s="1" t="s">
        <v>23</v>
      </c>
      <c r="C102" s="1" t="s">
        <v>56</v>
      </c>
      <c r="E102" s="28"/>
      <c r="F102" s="28">
        <f t="shared" ref="F102:AI102" si="74">F97/$I$5*1000</f>
        <v>20389.739495176767</v>
      </c>
      <c r="G102" s="28">
        <f t="shared" si="74"/>
        <v>18801.22668775123</v>
      </c>
      <c r="H102" s="28">
        <f t="shared" si="74"/>
        <v>17361.008719327139</v>
      </c>
      <c r="I102" s="28">
        <f t="shared" si="74"/>
        <v>16053.879309923503</v>
      </c>
      <c r="J102" s="28">
        <f t="shared" si="74"/>
        <v>14866.301021187801</v>
      </c>
      <c r="K102" s="28">
        <f t="shared" si="74"/>
        <v>13786.211764180829</v>
      </c>
      <c r="L102" s="28">
        <f t="shared" si="74"/>
        <v>12802.854823313915</v>
      </c>
      <c r="M102" s="28">
        <f t="shared" si="74"/>
        <v>11906.62941637589</v>
      </c>
      <c r="N102" s="28">
        <f t="shared" si="74"/>
        <v>11088.959202841268</v>
      </c>
      <c r="O102" s="28">
        <f t="shared" si="74"/>
        <v>10342.176491431557</v>
      </c>
      <c r="P102" s="28">
        <f t="shared" si="74"/>
        <v>9659.420190749388</v>
      </c>
      <c r="Q102" s="28">
        <f t="shared" si="74"/>
        <v>9034.5458001461629</v>
      </c>
      <c r="R102" s="28">
        <f t="shared" si="74"/>
        <v>8462.0459573339631</v>
      </c>
      <c r="S102" s="28">
        <f t="shared" si="74"/>
        <v>7936.9802493176703</v>
      </c>
      <c r="T102" s="28">
        <f t="shared" si="74"/>
        <v>7454.9131580518242</v>
      </c>
      <c r="U102" s="28">
        <f t="shared" si="74"/>
        <v>7011.8591552768721</v>
      </c>
      <c r="V102" s="28">
        <f t="shared" si="74"/>
        <v>6604.2340852419975</v>
      </c>
      <c r="W102" s="28">
        <f t="shared" si="74"/>
        <v>6228.8120820258173</v>
      </c>
      <c r="X102" s="28">
        <f t="shared" si="74"/>
        <v>5882.687362124756</v>
      </c>
      <c r="Y102" s="28">
        <f t="shared" si="74"/>
        <v>5563.2403147761943</v>
      </c>
      <c r="Z102" s="28">
        <f t="shared" si="74"/>
        <v>5268.1073837529857</v>
      </c>
      <c r="AA102" s="28">
        <f t="shared" si="74"/>
        <v>4995.1542965051349</v>
      </c>
      <c r="AB102" s="28">
        <f t="shared" si="74"/>
        <v>4742.4522507480524</v>
      </c>
      <c r="AC102" s="28">
        <f t="shared" si="74"/>
        <v>4508.2567159448072</v>
      </c>
      <c r="AD102" s="28">
        <f t="shared" si="74"/>
        <v>4290.9885485080113</v>
      </c>
      <c r="AE102" s="28">
        <f t="shared" si="74"/>
        <v>4089.2171557319061</v>
      </c>
      <c r="AF102" s="28">
        <f t="shared" si="74"/>
        <v>3901.6454751343831</v>
      </c>
      <c r="AG102" s="28">
        <f t="shared" si="74"/>
        <v>3727.0965636237215</v>
      </c>
      <c r="AH102" s="28">
        <f t="shared" si="74"/>
        <v>3564.5016152133321</v>
      </c>
      <c r="AI102" s="28">
        <f t="shared" si="74"/>
        <v>3412.8892473279871</v>
      </c>
    </row>
    <row r="103" spans="2:40" hidden="1" outlineLevel="1" x14ac:dyDescent="0.3">
      <c r="B103" s="12" t="s">
        <v>24</v>
      </c>
      <c r="C103" s="12" t="s">
        <v>56</v>
      </c>
      <c r="D103" s="14"/>
      <c r="E103" s="34"/>
      <c r="F103" s="34">
        <f t="shared" ref="F103:AI103" si="75">F98/$I$5*1000</f>
        <v>33617.590916153837</v>
      </c>
      <c r="G103" s="34">
        <f t="shared" si="75"/>
        <v>30359.030968715866</v>
      </c>
      <c r="H103" s="34">
        <f t="shared" si="75"/>
        <v>27466.836183786003</v>
      </c>
      <c r="I103" s="34">
        <f t="shared" si="75"/>
        <v>24896.394323544213</v>
      </c>
      <c r="J103" s="34">
        <f t="shared" si="75"/>
        <v>22608.851194838469</v>
      </c>
      <c r="K103" s="34">
        <f t="shared" si="75"/>
        <v>20570.33149637466</v>
      </c>
      <c r="L103" s="34">
        <f t="shared" si="75"/>
        <v>18751.269467546514</v>
      </c>
      <c r="M103" s="34">
        <f t="shared" si="75"/>
        <v>17125.833296191759</v>
      </c>
      <c r="N103" s="34">
        <f t="shared" si="75"/>
        <v>15671.429664729991</v>
      </c>
      <c r="O103" s="34">
        <f t="shared" si="75"/>
        <v>14368.276859340813</v>
      </c>
      <c r="P103" s="34">
        <f t="shared" si="75"/>
        <v>13199.036595447062</v>
      </c>
      <c r="Q103" s="34">
        <f t="shared" si="75"/>
        <v>12148.49617518284</v>
      </c>
      <c r="R103" s="34">
        <f t="shared" si="75"/>
        <v>11203.293830944294</v>
      </c>
      <c r="S103" s="34">
        <f t="shared" si="75"/>
        <v>10351.681158838475</v>
      </c>
      <c r="T103" s="34">
        <f t="shared" si="75"/>
        <v>9583.3174364695096</v>
      </c>
      <c r="U103" s="34">
        <f t="shared" si="75"/>
        <v>8889.091375844002</v>
      </c>
      <c r="V103" s="34">
        <f t="shared" si="75"/>
        <v>8260.9665050940148</v>
      </c>
      <c r="W103" s="34">
        <f t="shared" si="75"/>
        <v>7691.8469197149916</v>
      </c>
      <c r="X103" s="34">
        <f t="shared" si="75"/>
        <v>7175.4606098446829</v>
      </c>
      <c r="Y103" s="34">
        <f t="shared" si="75"/>
        <v>6706.2579671680842</v>
      </c>
      <c r="Z103" s="34">
        <f t="shared" si="75"/>
        <v>6279.3234137901527</v>
      </c>
      <c r="AA103" s="34">
        <f t="shared" si="75"/>
        <v>5890.2983846883262</v>
      </c>
      <c r="AB103" s="34">
        <f t="shared" si="75"/>
        <v>5535.3141425973899</v>
      </c>
      <c r="AC103" s="34">
        <f t="shared" si="75"/>
        <v>5210.9331156804619</v>
      </c>
      <c r="AD103" s="34">
        <f t="shared" si="75"/>
        <v>4914.0976294331595</v>
      </c>
      <c r="AE103" s="34">
        <f t="shared" si="75"/>
        <v>4642.0850594577969</v>
      </c>
      <c r="AF103" s="34">
        <f t="shared" si="75"/>
        <v>4392.4685648565492</v>
      </c>
      <c r="AG103" s="34">
        <f t="shared" si="75"/>
        <v>4163.0826762640081</v>
      </c>
      <c r="AH103" s="34">
        <f t="shared" si="75"/>
        <v>3951.9931107244329</v>
      </c>
      <c r="AI103" s="34">
        <f t="shared" si="75"/>
        <v>3757.4702700536918</v>
      </c>
    </row>
    <row r="104" spans="2:40" hidden="1" outlineLevel="1" x14ac:dyDescent="0.3"/>
    <row r="105" spans="2:40" x14ac:dyDescent="0.3">
      <c r="AN105" s="71">
        <f ca="1">TODAY()</f>
        <v>44097</v>
      </c>
    </row>
    <row r="106" spans="2:40" x14ac:dyDescent="0.3">
      <c r="AN106" s="2" t="e">
        <f ca="1">MID(CELL("Dateiname"),FIND("[",CELL("Dateiname"))+1,FIND("]",CELL("Dateiname"))-FIND("[",CELL("Dateiname"))-1)</f>
        <v>#VALUE!</v>
      </c>
    </row>
  </sheetData>
  <mergeCells count="1">
    <mergeCell ref="B5:C8"/>
  </mergeCells>
  <pageMargins left="0.7" right="0.7" top="0.78740157499999996" bottom="0.78740157499999996" header="0.3" footer="0.3"/>
  <pageSetup paperSize="8" scale="31" fitToHeight="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Belge" ma:contentTypeID="0x0101003DA536939060B04BB13F39ADB786E5F8" ma:contentTypeVersion="10" ma:contentTypeDescription="Yeni belge oluşturun." ma:contentTypeScope="" ma:versionID="f8310507ca759f7e799ebc083d3b4fdd">
  <xsd:schema xmlns:xsd="http://www.w3.org/2001/XMLSchema" xmlns:xs="http://www.w3.org/2001/XMLSchema" xmlns:p="http://schemas.microsoft.com/office/2006/metadata/properties" xmlns:ns3="800175cc-d48e-411d-844b-26ad2aaa5d7c" targetNamespace="http://schemas.microsoft.com/office/2006/metadata/properties" ma:root="true" ma:fieldsID="3834a36dcb7b52e94c80bc5eef328afe" ns3:_="">
    <xsd:import namespace="800175cc-d48e-411d-844b-26ad2aaa5d7c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DateTaken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00175cc-d48e-411d-844b-26ad2aaa5d7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İçerik Türü"/>
        <xsd:element ref="dc:title" minOccurs="0" maxOccurs="1" ma:index="4" ma:displayName="Başlık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40398C9-3B3E-48F1-8D37-BC373D66236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00175cc-d48e-411d-844b-26ad2aaa5d7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2B695E5-E2FD-4E0E-9FDC-DA8E8F6BDDD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2FBBD1A-CA43-424C-BDBA-A875ED631922}">
  <ds:schemaRefs>
    <ds:schemaRef ds:uri="http://purl.org/dc/elements/1.1/"/>
    <ds:schemaRef ds:uri="800175cc-d48e-411d-844b-26ad2aaa5d7c"/>
    <ds:schemaRef ds:uri="http://purl.org/dc/terms/"/>
    <ds:schemaRef ds:uri="http://schemas.microsoft.com/office/2006/metadata/properties"/>
    <ds:schemaRef ds:uri="http://www.w3.org/XML/1998/namespac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Çalışma Sayfaları</vt:lpstr>
      </vt:variant>
      <vt:variant>
        <vt:i4>2</vt:i4>
      </vt:variant>
      <vt:variant>
        <vt:lpstr>Adlandırılmış Aralıklar</vt:lpstr>
      </vt:variant>
      <vt:variant>
        <vt:i4>1</vt:i4>
      </vt:variant>
    </vt:vector>
  </HeadingPairs>
  <TitlesOfParts>
    <vt:vector size="3" baseType="lpstr">
      <vt:lpstr>Szenarios</vt:lpstr>
      <vt:lpstr>TL</vt:lpstr>
      <vt:lpstr>TL!Yazdırma_Alanı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Josef Mußner</dc:creator>
  <cp:lastModifiedBy>Murat GÜVEN</cp:lastModifiedBy>
  <cp:lastPrinted>2020-09-17T14:41:18Z</cp:lastPrinted>
  <dcterms:created xsi:type="dcterms:W3CDTF">2013-07-18T09:47:43Z</dcterms:created>
  <dcterms:modified xsi:type="dcterms:W3CDTF">2020-09-23T20:16:18Z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0x0101003DA536939060B04BB13F39ADB786E5F8</vt:lpwstr>
  </property>
</Properties>
</file>